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<sst xmlns="http://schemas.openxmlformats.org/spreadsheetml/2006/main" count="532" uniqueCount="361">
  <si>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</si>
  <si>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</si>
  <si>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</si>
  <si>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</si>
  <si>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</si>
  <si>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</si>
  <si>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</si>
  <si>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</si>
  <si>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</si>
  <si>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</si>
  <si>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</si>
  <si>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</si>
  <si>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</si>
  <si>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</si>
  <si>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</si>
  <si>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</si>
  <si>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</si>
  <si>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</si>
  <si>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</si>
  <si>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</si>
  <si>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</si>
  <si>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</si>
  <si>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</si>
  <si>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</si>
  <si>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</si>
  <si>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</si>
  <si>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</si>
  <si>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</si>
  <si>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</si>
  <si>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</si>
  <si>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</si>
  <si>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</si>
  <si>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</si>
  <si>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</si>
  <si>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</si>
  <si>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</si>
  <si>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</si>
  <si>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</si>
  <si>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</si>
  <si>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</si>
  <si>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</si>
  <si>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</si>
  <si>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</si>
  <si>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</si>
  <si>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</si>
  <si>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</si>
  <si>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</si>
  <si>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</si>
  <si>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</si>
  <si>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</si>
  <si>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</si>
  <si>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</si>
  <si>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</si>
  <si>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</si>
  <si>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</si>
  <si>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</si>
  <si>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</si>
  <si>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</si>
  <si>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</si>
  <si>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</si>
  <si>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</si>
  <si>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</si>
  <si>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</si>
  <si>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</si>
  <si>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</si>
  <si>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</si>
  <si>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</si>
  <si>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</si>
  <si>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</si>
  <si>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</si>
  <si>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</si>
  <si>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</si>
  <si>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</si>
  <si>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</si>
  <si>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</si>
  <si>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</si>
  <si>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</si>
  <si>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</si>
  <si>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</si>
  <si>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</si>
  <si>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</si>
  <si>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</si>
  <si>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</si>
  <si>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</si>
  <si>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</si>
  <si>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</si>
  <si>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</si>
  <si>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</si>
  <si>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</si>
  <si>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</si>
  <si>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</si>
  <si>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</si>
  <si>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</si>
  <si>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</si>
  <si>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</si>
  <si>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</si>
  <si>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</si>
  <si>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</si>
  <si>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</si>
  <si>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</si>
  <si>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</si>
  <si>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</si>
  <si>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</si>
  <si>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</si>
  <si>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</si>
  <si>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</si>
  <si>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</si>
  <si>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</si>
  <si>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</si>
  <si>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</si>
  <si>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</si>
  <si>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</si>
  <si>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</si>
  <si>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</si>
  <si>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</si>
  <si>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</si>
  <si>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</si>
  <si>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</si>
  <si>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</si>
  <si>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</si>
  <si>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</si>
  <si>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</si>
  <si>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</si>
  <si>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</si>
  <si>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</si>
  <si>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</si>
  <si>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</si>
  <si>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</si>
  <si>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</si>
  <si>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</si>
  <si>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</si>
  <si>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</si>
  <si>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</si>
  <si>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</si>
  <si>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</si>
  <si>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</si>
  <si>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</si>
  <si>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</si>
  <si>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</si>
  <si>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</si>
  <si>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</si>
  <si>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</si>
  <si>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</si>
  <si>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</si>
  <si>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</si>
  <si>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</si>
  <si>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</si>
  <si>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</si>
  <si>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</si>
  <si>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</si>
  <si>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</si>
  <si>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</si>
  <si>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</si>
  <si>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</si>
  <si>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</si>
  <si>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</si>
  <si>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</si>
  <si>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</si>
  <si>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</si>
  <si>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</si>
  <si>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</si>
  <si>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</si>
  <si>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</si>
  <si>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</si>
  <si>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</si>
  <si>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</si>
  <si>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</si>
  <si>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</si>
  <si>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</si>
  <si>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</si>
  <si>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</si>
  <si>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</si>
  <si>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</si>
  <si>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</si>
  <si>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</si>
  <si>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</si>
  <si>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</si>
  <si>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</si>
  <si>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</si>
  <si>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</si>
  <si>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</si>
  <si>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</si>
  <si>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</si>
  <si>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</si>
  <si>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</si>
  <si>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</si>
  <si>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</si>
  <si>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</si>
  <si>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</si>
  <si>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</si>
  <si>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</si>
  <si>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</si>
  <si>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</si>
  <si>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</si>
  <si>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</si>
  <si>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</si>
  <si>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</si>
  <si>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</si>
  <si>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</si>
  <si>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</si>
  <si>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</si>
  <si>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</si>
  <si>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</si>
  <si>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</si>
  <si>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</si>
  <si>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</si>
  <si>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</si>
  <si>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</si>
  <si>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</si>
  <si>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</si>
  <si>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</si>
  <si>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</si>
  <si>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</si>
  <si>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</si>
  <si>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</si>
  <si>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</si>
  <si>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</si>
  <si>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</si>
  <si>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</si>
  <si>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</si>
  <si>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</si>
  <si>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</si>
  <si>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</si>
  <si>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</si>
  <si>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</si>
  <si>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</si>
  <si>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</si>
  <si>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</si>
  <si>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</si>
  <si>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</si>
  <si>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</si>
  <si>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</si>
  <si>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</si>
  <si>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</si>
  <si>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</si>
  <si>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</si>
  <si>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</si>
  <si>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</si>
  <si>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</si>
  <si>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</si>
  <si>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</si>
  <si>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</si>
  <si>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</si>
  <si>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</si>
  <si>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</si>
  <si>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</si>
  <si>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</si>
  <si>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</si>
  <si>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</si>
  <si>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</si>
  <si>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</si>
  <si>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</si>
  <si>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</si>
  <si>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</si>
  <si>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</si>
  <si>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</si>
  <si>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</si>
  <si>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</si>
  <si>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</si>
  <si>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</si>
  <si>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</si>
  <si>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</si>
  <si>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</si>
  <si>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</si>
  <si>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</si>
  <si>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</si>
  <si>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</si>
  <si>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</si>
  <si>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</si>
  <si>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</si>
  <si>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</si>
  <si>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</si>
  <si>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</si>
  <si>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</si>
  <si>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</si>
  <si>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</si>
  <si>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</si>
  <si>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</si>
  <si>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</si>
  <si>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</si>
  <si>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</si>
  <si>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</si>
  <si>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</si>
  <si>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</si>
  <si>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</si>
  <si>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</si>
  <si>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</si>
  <si>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</si>
  <si>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</si>
  <si>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</si>
  <si>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</si>
  <si>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</si>
  <si>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</si>
  <si>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</si>
  <si>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</si>
  <si>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</si>
  <si>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</si>
  <si>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</si>
  <si>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</si>
  <si>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</si>
  <si>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</si>
  <si>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</si>
  <si>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</si>
  <si>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</si>
  <si>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</si>
  <si>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</si>
  <si>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</si>
  <si>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</si>
  <si>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</si>
  <si>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</si>
  <si>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</si>
  <si>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</si>
  <si>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</si>
  <si>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</si>
  <si>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</si>
  <si>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</si>
  <si>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</si>
  <si>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</si>
  <si>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</si>
  <si>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</si>
  <si>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</si>
  <si>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</si>
  <si>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</si>
  <si>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</si>
  <si>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</si>
  <si>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</si>
  <si>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</si>
  <si>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</si>
  <si>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</si>
  <si>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</si>
  <si>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</si>
  <si>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</si>
  <si>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</si>
  <si>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</si>
  <si>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</si>
  <si>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</si>
  <si>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</si>
  <si>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</si>
  <si>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</si>
  <si>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</si>
  <si>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</si>
  <si>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</si>
  <si>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</si>
  <si>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</si>
  <si>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</si>
  <si>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</si>
  <si>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</si>
  <si>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</si>
  <si>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</si>
  <si>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</si>
  <si>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</si>
  <si>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</si>
  <si>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</si>
  <si>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121 08 25 21</t>
  </si>
  <si>
    <t>ИВАЙЛО ИВАНОВ</t>
  </si>
  <si>
    <t>www.nssi.bg</t>
  </si>
  <si>
    <t>София, бул."Александър Стамболийски" № 62-64</t>
  </si>
  <si>
    <t>02 926 13 06</t>
  </si>
  <si>
    <t>Pepa.Hadzhieva@nssi.bg</t>
  </si>
  <si>
    <t>Национален осигурителен институт - Държавно обществено осигуряване</t>
  </si>
  <si>
    <t>ДИМИТЪР НЕДЯЛКОВ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</si>
</sst>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4" fillId="29" borderId="6" applyNumberFormat="0" applyAlignment="0" applyProtection="0"/>
    <xf numFmtId="0" fontId="135" fillId="29" borderId="2" applyNumberFormat="0" applyAlignment="0" applyProtection="0"/>
    <xf numFmtId="0" fontId="136" fillId="30" borderId="7" applyNumberFormat="0" applyAlignment="0" applyProtection="0"/>
    <xf numFmtId="0" fontId="137" fillId="31" borderId="0" applyNumberFormat="0" applyBorder="0" applyAlignment="0" applyProtection="0"/>
    <xf numFmtId="0" fontId="138" fillId="32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2" fillId="0" borderId="8" applyNumberFormat="0" applyFill="0" applyAlignment="0" applyProtection="0"/>
    <xf numFmtId="0" fontId="143" fillId="0" borderId="9" applyNumberFormat="0" applyFill="0" applyAlignment="0" applyProtection="0"/>
    <xf numFmtId="0" fontId="144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5" fillId="26" borderId="0" xfId="38" applyFont="1" applyFill="1" applyAlignment="1" applyProtection="1">
      <alignment horizontal="right"/>
      <protection/>
    </xf>
    <xf numFmtId="0" fontId="146" fillId="26" borderId="0" xfId="38" applyFont="1" applyFill="1" applyBorder="1" applyAlignment="1" applyProtection="1">
      <alignment horizontal="center"/>
      <protection/>
    </xf>
    <xf numFmtId="166" fontId="147" fillId="26" borderId="0" xfId="40" applyNumberFormat="1" applyFont="1" applyFill="1" applyAlignment="1" applyProtection="1">
      <alignment/>
      <protection/>
    </xf>
    <xf numFmtId="0" fontId="145" fillId="26" borderId="0" xfId="33" applyFont="1" applyFill="1" applyAlignment="1" applyProtection="1" quotePrefix="1">
      <alignment/>
      <protection/>
    </xf>
    <xf numFmtId="0" fontId="148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1" fillId="37" borderId="0" xfId="33" applyFont="1" applyFill="1" applyProtection="1">
      <alignment/>
      <protection/>
    </xf>
    <xf numFmtId="0" fontId="22" fillId="37" borderId="0" xfId="33" applyFont="1" applyFill="1" applyBorder="1" applyAlignment="1">
      <alignment vertical="center"/>
      <protection/>
    </xf>
    <xf numFmtId="0" fontId="21" fillId="37" borderId="0" xfId="33" applyFont="1" applyFill="1" applyBorder="1" applyAlignment="1">
      <alignment vertical="center"/>
      <protection/>
    </xf>
    <xf numFmtId="0" fontId="21" fillId="37" borderId="0" xfId="33" applyFont="1" applyFill="1" applyBorder="1" applyAlignment="1" applyProtection="1">
      <alignment vertical="center"/>
      <protection/>
    </xf>
    <xf numFmtId="0" fontId="22" fillId="37" borderId="0" xfId="33" applyFont="1" applyFill="1" applyBorder="1" applyAlignment="1">
      <alignment horizontal="center" vertical="center"/>
      <protection/>
    </xf>
    <xf numFmtId="4" fontId="21" fillId="37" borderId="0" xfId="33" applyNumberFormat="1" applyFont="1" applyFill="1" applyAlignment="1" applyProtection="1">
      <alignment vertical="center"/>
      <protection/>
    </xf>
    <xf numFmtId="4" fontId="21" fillId="0" borderId="0" xfId="33" applyNumberFormat="1" applyFont="1" applyFill="1" applyAlignment="1" applyProtection="1">
      <alignment vertical="center"/>
      <protection/>
    </xf>
    <xf numFmtId="0" fontId="21" fillId="0" borderId="0" xfId="33" applyFont="1" applyFill="1" applyBorder="1" applyAlignment="1" applyProtection="1">
      <alignment vertical="center"/>
      <protection/>
    </xf>
    <xf numFmtId="0" fontId="21" fillId="0" borderId="0" xfId="33" applyFont="1" applyFill="1" applyProtection="1">
      <alignment/>
      <protection/>
    </xf>
    <xf numFmtId="0" fontId="22" fillId="0" borderId="0" xfId="33" applyFont="1" applyFill="1" applyBorder="1" applyAlignment="1" applyProtection="1">
      <alignment horizontal="center" vertical="center"/>
      <protection/>
    </xf>
    <xf numFmtId="0" fontId="21" fillId="37" borderId="0" xfId="33" applyFont="1" applyFill="1">
      <alignment/>
      <protection/>
    </xf>
    <xf numFmtId="0" fontId="21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3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47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4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9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8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3" fontId="150" fillId="39" borderId="22" xfId="0" applyNumberFormat="1" applyFont="1" applyFill="1" applyBorder="1" applyAlignment="1" applyProtection="1" quotePrefix="1">
      <alignment horizontal="center"/>
      <protection/>
    </xf>
    <xf numFmtId="172" fontId="151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2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5" fillId="40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7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3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0" applyNumberFormat="1" applyFont="1" applyFill="1" applyAlignment="1" applyProtection="1">
      <alignment/>
      <protection/>
    </xf>
    <xf numFmtId="174" fontId="14" fillId="37" borderId="0" xfId="39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4" fillId="41" borderId="22" xfId="0" applyNumberFormat="1" applyFont="1" applyFill="1" applyBorder="1" applyAlignment="1" applyProtection="1" quotePrefix="1">
      <alignment horizontal="center"/>
      <protection/>
    </xf>
    <xf numFmtId="172" fontId="155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5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2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6" fillId="26" borderId="30" xfId="0" applyNumberFormat="1" applyFont="1" applyFill="1" applyBorder="1" applyAlignment="1" applyProtection="1">
      <alignment horizontal="center"/>
      <protection/>
    </xf>
    <xf numFmtId="166" fontId="12" fillId="26" borderId="30" xfId="0" applyNumberFormat="1" applyFont="1" applyFill="1" applyBorder="1" applyAlignment="1" applyProtection="1">
      <alignment horizontal="center"/>
      <protection/>
    </xf>
    <xf numFmtId="166" fontId="36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6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6" fillId="44" borderId="56" xfId="40" applyNumberFormat="1" applyFont="1" applyFill="1" applyBorder="1" applyAlignment="1" applyProtection="1">
      <alignment/>
      <protection/>
    </xf>
    <xf numFmtId="38" fontId="26" fillId="44" borderId="57" xfId="40" applyNumberFormat="1" applyFont="1" applyFill="1" applyBorder="1" applyAlignment="1" applyProtection="1">
      <alignment/>
      <protection/>
    </xf>
    <xf numFmtId="38" fontId="26" fillId="44" borderId="50" xfId="40" applyNumberFormat="1" applyFont="1" applyFill="1" applyBorder="1" applyAlignment="1" applyProtection="1">
      <alignment/>
      <protection/>
    </xf>
    <xf numFmtId="38" fontId="26" fillId="44" borderId="51" xfId="40" applyNumberFormat="1" applyFont="1" applyFill="1" applyBorder="1" applyAlignment="1" applyProtection="1">
      <alignment/>
      <protection/>
    </xf>
    <xf numFmtId="38" fontId="26" fillId="44" borderId="52" xfId="40" applyNumberFormat="1" applyFont="1" applyFill="1" applyBorder="1" applyAlignment="1" applyProtection="1">
      <alignment/>
      <protection/>
    </xf>
    <xf numFmtId="38" fontId="26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6" fillId="44" borderId="46" xfId="40" applyNumberFormat="1" applyFont="1" applyFill="1" applyBorder="1" applyAlignment="1" applyProtection="1">
      <alignment/>
      <protection/>
    </xf>
    <xf numFmtId="38" fontId="26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75" fontId="157" fillId="33" borderId="30" xfId="0" applyNumberFormat="1" applyFont="1" applyFill="1" applyBorder="1" applyAlignment="1" applyProtection="1">
      <alignment horizontal="center"/>
      <protection locked="0"/>
    </xf>
    <xf numFmtId="175" fontId="157" fillId="33" borderId="48" xfId="0" applyNumberFormat="1" applyFont="1" applyFill="1" applyBorder="1" applyAlignment="1" applyProtection="1">
      <alignment horizontal="center"/>
      <protection/>
    </xf>
    <xf numFmtId="0" fontId="148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6" fillId="44" borderId="54" xfId="40" applyNumberFormat="1" applyFont="1" applyFill="1" applyBorder="1" applyAlignment="1" applyProtection="1">
      <alignment/>
      <protection/>
    </xf>
    <xf numFmtId="38" fontId="26" fillId="44" borderId="62" xfId="40" applyNumberFormat="1" applyFont="1" applyFill="1" applyBorder="1" applyAlignment="1" applyProtection="1">
      <alignment/>
      <protection/>
    </xf>
    <xf numFmtId="38" fontId="26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6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8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6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6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6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6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6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6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6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6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9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6" fillId="44" borderId="45" xfId="40" applyNumberFormat="1" applyFont="1" applyFill="1" applyBorder="1" applyAlignment="1" applyProtection="1">
      <alignment horizontal="center"/>
      <protection/>
    </xf>
    <xf numFmtId="38" fontId="26" fillId="44" borderId="46" xfId="40" applyNumberFormat="1" applyFont="1" applyFill="1" applyBorder="1" applyAlignment="1" applyProtection="1">
      <alignment horizontal="center"/>
      <protection/>
    </xf>
    <xf numFmtId="38" fontId="26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66" fontId="5" fillId="39" borderId="69" xfId="36" applyNumberFormat="1" applyFont="1" applyFill="1" applyBorder="1" applyAlignment="1" applyProtection="1">
      <alignment horizontal="left"/>
      <protection/>
    </xf>
    <xf numFmtId="166" fontId="5" fillId="39" borderId="41" xfId="36" applyNumberFormat="1" applyFont="1" applyFill="1" applyBorder="1" applyAlignment="1" applyProtection="1">
      <alignment horizontal="left"/>
      <protection/>
    </xf>
    <xf numFmtId="166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60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6" fillId="26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1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26" borderId="86" xfId="0" applyNumberFormat="1" applyFont="1" applyFill="1" applyBorder="1" applyAlignment="1" applyProtection="1">
      <alignment/>
      <protection/>
    </xf>
    <xf numFmtId="176" fontId="3" fillId="26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3" fillId="39" borderId="22" xfId="0" applyNumberFormat="1" applyFont="1" applyFill="1" applyBorder="1" applyAlignment="1" applyProtection="1" quotePrefix="1">
      <alignment horizontal="center"/>
      <protection/>
    </xf>
    <xf numFmtId="183" fontId="160" fillId="42" borderId="22" xfId="0" applyNumberFormat="1" applyFont="1" applyFill="1" applyBorder="1" applyAlignment="1" applyProtection="1" quotePrefix="1">
      <alignment horizontal="center"/>
      <protection/>
    </xf>
    <xf numFmtId="183" fontId="161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2" fillId="38" borderId="107" xfId="0" applyNumberFormat="1" applyFont="1" applyFill="1" applyBorder="1" applyAlignment="1" applyProtection="1">
      <alignment horizontal="center"/>
      <protection/>
    </xf>
    <xf numFmtId="174" fontId="162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5" fillId="33" borderId="59" xfId="0" applyNumberFormat="1" applyFont="1" applyFill="1" applyBorder="1" applyAlignment="1" applyProtection="1">
      <alignment/>
      <protection/>
    </xf>
    <xf numFmtId="0" fontId="55" fillId="33" borderId="59" xfId="0" applyFont="1" applyFill="1" applyBorder="1" applyAlignment="1" applyProtection="1">
      <alignment/>
      <protection/>
    </xf>
    <xf numFmtId="166" fontId="163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6" fillId="44" borderId="111" xfId="0" applyNumberFormat="1" applyFont="1" applyFill="1" applyBorder="1" applyAlignment="1" applyProtection="1">
      <alignment/>
      <protection/>
    </xf>
    <xf numFmtId="176" fontId="36" fillId="44" borderId="96" xfId="0" applyNumberFormat="1" applyFont="1" applyFill="1" applyBorder="1" applyAlignment="1" applyProtection="1">
      <alignment/>
      <protection/>
    </xf>
    <xf numFmtId="176" fontId="36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6" fillId="44" borderId="114" xfId="0" applyNumberFormat="1" applyFont="1" applyFill="1" applyBorder="1" applyAlignment="1" applyProtection="1">
      <alignment/>
      <protection/>
    </xf>
    <xf numFmtId="176" fontId="12" fillId="44" borderId="113" xfId="36" applyNumberFormat="1" applyFont="1" applyFill="1" applyBorder="1" applyAlignment="1" applyProtection="1">
      <alignment/>
      <protection/>
    </xf>
    <xf numFmtId="0" fontId="164" fillId="49" borderId="0" xfId="37" applyFont="1" applyFill="1" applyBorder="1" applyAlignment="1" applyProtection="1">
      <alignment horizontal="center"/>
      <protection/>
    </xf>
    <xf numFmtId="166" fontId="163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5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5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5" fillId="35" borderId="0" xfId="39" applyFont="1" applyFill="1" applyBorder="1" applyAlignment="1" applyProtection="1">
      <alignment/>
      <protection/>
    </xf>
    <xf numFmtId="0" fontId="164" fillId="33" borderId="0" xfId="37" applyFont="1" applyFill="1" applyBorder="1" applyAlignment="1" applyProtection="1">
      <alignment horizontal="center"/>
      <protection/>
    </xf>
    <xf numFmtId="164" fontId="59" fillId="50" borderId="30" xfId="39" applyNumberFormat="1" applyFont="1" applyFill="1" applyBorder="1" applyAlignment="1" applyProtection="1">
      <alignment horizontal="center" vertical="center"/>
      <protection locked="0"/>
    </xf>
    <xf numFmtId="166" fontId="145" fillId="26" borderId="0" xfId="40" applyNumberFormat="1" applyFont="1" applyFill="1" applyAlignment="1" applyProtection="1">
      <alignment/>
      <protection/>
    </xf>
    <xf numFmtId="0" fontId="148" fillId="35" borderId="0" xfId="39" applyFont="1" applyFill="1" applyBorder="1" applyProtection="1">
      <alignment/>
      <protection/>
    </xf>
    <xf numFmtId="0" fontId="166" fillId="35" borderId="0" xfId="39" applyFont="1" applyFill="1" applyBorder="1" applyProtection="1">
      <alignment/>
      <protection/>
    </xf>
    <xf numFmtId="0" fontId="166" fillId="35" borderId="0" xfId="39" applyFont="1" applyFill="1" applyProtection="1">
      <alignment/>
      <protection/>
    </xf>
    <xf numFmtId="172" fontId="154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20" fillId="36" borderId="0" xfId="39" applyFont="1" applyFill="1" applyProtection="1">
      <alignment/>
      <protection/>
    </xf>
    <xf numFmtId="164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20" fillId="36" borderId="0" xfId="39" applyFont="1" applyFill="1" applyBorder="1" applyProtection="1">
      <alignment/>
      <protection/>
    </xf>
    <xf numFmtId="166" fontId="8" fillId="33" borderId="0" xfId="40" applyNumberFormat="1" applyFont="1" applyFill="1" applyAlignment="1" applyProtection="1">
      <alignment/>
      <protection/>
    </xf>
    <xf numFmtId="0" fontId="61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7" fillId="33" borderId="48" xfId="0" applyFont="1" applyFill="1" applyBorder="1" applyAlignment="1" applyProtection="1">
      <alignment horizontal="center"/>
      <protection/>
    </xf>
    <xf numFmtId="0" fontId="168" fillId="26" borderId="48" xfId="0" applyFont="1" applyFill="1" applyBorder="1" applyAlignment="1" applyProtection="1">
      <alignment horizontal="center"/>
      <protection locked="0"/>
    </xf>
    <xf numFmtId="164" fontId="169" fillId="33" borderId="30" xfId="39" applyNumberFormat="1" applyFont="1" applyFill="1" applyBorder="1" applyAlignment="1" applyProtection="1">
      <alignment horizontal="center" vertical="center"/>
      <protection/>
    </xf>
    <xf numFmtId="164" fontId="170" fillId="33" borderId="30" xfId="39" applyNumberFormat="1" applyFont="1" applyFill="1" applyBorder="1" applyAlignment="1" applyProtection="1">
      <alignment horizontal="center" vertical="center"/>
      <protection/>
    </xf>
    <xf numFmtId="0" fontId="16" fillId="33" borderId="30" xfId="39" applyNumberFormat="1" applyFont="1" applyFill="1" applyBorder="1" applyAlignment="1" applyProtection="1">
      <alignment horizontal="center" vertical="center"/>
      <protection/>
    </xf>
    <xf numFmtId="0" fontId="16" fillId="38" borderId="30" xfId="39" applyNumberFormat="1" applyFont="1" applyFill="1" applyBorder="1" applyAlignment="1" applyProtection="1">
      <alignment horizontal="center" vertical="center"/>
      <protection locked="0"/>
    </xf>
    <xf numFmtId="38" fontId="19" fillId="33" borderId="63" xfId="40" applyNumberFormat="1" applyFont="1" applyFill="1" applyBorder="1" applyAlignment="1" applyProtection="1">
      <alignment/>
      <protection/>
    </xf>
    <xf numFmtId="38" fontId="19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7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26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1" fillId="33" borderId="74" xfId="0" applyNumberFormat="1" applyFont="1" applyFill="1" applyBorder="1" applyAlignment="1" applyProtection="1" quotePrefix="1">
      <alignment/>
      <protection/>
    </xf>
    <xf numFmtId="166" fontId="172" fillId="33" borderId="74" xfId="0" applyNumberFormat="1" applyFont="1" applyFill="1" applyBorder="1" applyAlignment="1" applyProtection="1" quotePrefix="1">
      <alignment/>
      <protection/>
    </xf>
    <xf numFmtId="166" fontId="171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1" fillId="33" borderId="119" xfId="0" applyNumberFormat="1" applyFont="1" applyFill="1" applyBorder="1" applyAlignment="1" applyProtection="1" quotePrefix="1">
      <alignment/>
      <protection/>
    </xf>
    <xf numFmtId="166" fontId="171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1" fillId="26" borderId="119" xfId="0" applyNumberFormat="1" applyFont="1" applyFill="1" applyBorder="1" applyAlignment="1" applyProtection="1" quotePrefix="1">
      <alignment/>
      <protection/>
    </xf>
    <xf numFmtId="166" fontId="172" fillId="26" borderId="35" xfId="0" applyNumberFormat="1" applyFont="1" applyFill="1" applyBorder="1" applyAlignment="1" applyProtection="1" quotePrefix="1">
      <alignment/>
      <protection/>
    </xf>
    <xf numFmtId="166" fontId="171" fillId="33" borderId="90" xfId="0" applyNumberFormat="1" applyFont="1" applyFill="1" applyBorder="1" applyAlignment="1" applyProtection="1" quotePrefix="1">
      <alignment/>
      <protection/>
    </xf>
    <xf numFmtId="166" fontId="172" fillId="33" borderId="91" xfId="0" applyNumberFormat="1" applyFont="1" applyFill="1" applyBorder="1" applyAlignment="1" applyProtection="1" quotePrefix="1">
      <alignment/>
      <protection/>
    </xf>
    <xf numFmtId="166" fontId="172" fillId="33" borderId="35" xfId="0" applyNumberFormat="1" applyFont="1" applyFill="1" applyBorder="1" applyAlignment="1" applyProtection="1" quotePrefix="1">
      <alignment/>
      <protection/>
    </xf>
    <xf numFmtId="0" fontId="37" fillId="33" borderId="120" xfId="39" applyFont="1" applyFill="1" applyBorder="1" applyProtection="1">
      <alignment/>
      <protection/>
    </xf>
    <xf numFmtId="0" fontId="37" fillId="33" borderId="46" xfId="39" applyFont="1" applyFill="1" applyBorder="1" applyProtection="1">
      <alignment/>
      <protection/>
    </xf>
    <xf numFmtId="0" fontId="37" fillId="33" borderId="32" xfId="39" applyFont="1" applyFill="1" applyBorder="1" applyProtection="1">
      <alignment/>
      <protection/>
    </xf>
    <xf numFmtId="174" fontId="41" fillId="51" borderId="121" xfId="0" applyNumberFormat="1" applyFont="1" applyFill="1" applyBorder="1" applyAlignment="1" applyProtection="1">
      <alignment horizontal="center"/>
      <protection/>
    </xf>
    <xf numFmtId="174" fontId="42" fillId="43" borderId="121" xfId="0" applyNumberFormat="1" applyFont="1" applyFill="1" applyBorder="1" applyAlignment="1" applyProtection="1">
      <alignment horizontal="center"/>
      <protection/>
    </xf>
    <xf numFmtId="174" fontId="173" fillId="51" borderId="121" xfId="0" applyNumberFormat="1" applyFont="1" applyFill="1" applyBorder="1" applyAlignment="1" applyProtection="1">
      <alignment horizontal="center"/>
      <protection/>
    </xf>
    <xf numFmtId="174" fontId="174" fillId="43" borderId="121" xfId="0" applyNumberFormat="1" applyFont="1" applyFill="1" applyBorder="1" applyAlignment="1" applyProtection="1">
      <alignment horizontal="center"/>
      <protection/>
    </xf>
    <xf numFmtId="174" fontId="41" fillId="52" borderId="121" xfId="0" applyNumberFormat="1" applyFont="1" applyFill="1" applyBorder="1" applyAlignment="1" applyProtection="1">
      <alignment horizontal="center"/>
      <protection/>
    </xf>
    <xf numFmtId="174" fontId="42" fillId="52" borderId="121" xfId="0" applyNumberFormat="1" applyFont="1" applyFill="1" applyBorder="1" applyAlignment="1" applyProtection="1">
      <alignment horizontal="center"/>
      <protection/>
    </xf>
    <xf numFmtId="174" fontId="175" fillId="52" borderId="121" xfId="0" applyNumberFormat="1" applyFont="1" applyFill="1" applyBorder="1" applyAlignment="1" applyProtection="1">
      <alignment horizontal="center"/>
      <protection/>
    </xf>
    <xf numFmtId="174" fontId="174" fillId="52" borderId="121" xfId="0" applyNumberFormat="1" applyFont="1" applyFill="1" applyBorder="1" applyAlignment="1" applyProtection="1">
      <alignment horizontal="center"/>
      <protection/>
    </xf>
    <xf numFmtId="174" fontId="41" fillId="40" borderId="121" xfId="0" applyNumberFormat="1" applyFont="1" applyFill="1" applyBorder="1" applyAlignment="1" applyProtection="1">
      <alignment horizontal="center"/>
      <protection/>
    </xf>
    <xf numFmtId="174" fontId="42" fillId="40" borderId="121" xfId="0" applyNumberFormat="1" applyFont="1" applyFill="1" applyBorder="1" applyAlignment="1" applyProtection="1">
      <alignment horizontal="center"/>
      <protection/>
    </xf>
    <xf numFmtId="174" fontId="176" fillId="40" borderId="121" xfId="0" applyNumberFormat="1" applyFont="1" applyFill="1" applyBorder="1" applyAlignment="1" applyProtection="1">
      <alignment horizontal="center"/>
      <protection/>
    </xf>
    <xf numFmtId="174" fontId="177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2" fillId="38" borderId="122" xfId="0" applyNumberFormat="1" applyFont="1" applyFill="1" applyBorder="1" applyAlignment="1" applyProtection="1">
      <alignment horizontal="center"/>
      <protection/>
    </xf>
    <xf numFmtId="174" fontId="162" fillId="38" borderId="123" xfId="0" applyNumberFormat="1" applyFont="1" applyFill="1" applyBorder="1" applyAlignment="1" applyProtection="1">
      <alignment horizontal="center"/>
      <protection/>
    </xf>
    <xf numFmtId="166" fontId="12" fillId="26" borderId="122" xfId="0" applyNumberFormat="1" applyFont="1" applyFill="1" applyBorder="1" applyAlignment="1" applyProtection="1">
      <alignment horizontal="center"/>
      <protection/>
    </xf>
    <xf numFmtId="166" fontId="36" fillId="26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6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8" fillId="44" borderId="45" xfId="40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6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6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6" fillId="44" borderId="10" xfId="0" applyNumberFormat="1" applyFont="1" applyFill="1" applyBorder="1" applyAlignment="1" applyProtection="1">
      <alignment/>
      <protection locked="0"/>
    </xf>
    <xf numFmtId="166" fontId="163" fillId="26" borderId="0" xfId="0" applyNumberFormat="1" applyFont="1" applyFill="1" applyBorder="1" applyAlignment="1" applyProtection="1" quotePrefix="1">
      <alignment horizontal="center"/>
      <protection/>
    </xf>
    <xf numFmtId="166" fontId="163" fillId="33" borderId="0" xfId="0" applyNumberFormat="1" applyFont="1" applyFill="1" applyBorder="1" applyAlignment="1" applyProtection="1" quotePrefix="1">
      <alignment horizontal="center"/>
      <protection/>
    </xf>
    <xf numFmtId="168" fontId="69" fillId="53" borderId="0" xfId="33" applyNumberFormat="1" applyFont="1" applyFill="1" applyBorder="1" applyAlignment="1">
      <alignment horizontal="center"/>
      <protection/>
    </xf>
    <xf numFmtId="171" fontId="69" fillId="53" borderId="0" xfId="33" applyNumberFormat="1" applyFont="1" applyFill="1" applyBorder="1" applyAlignment="1">
      <alignment horizontal="center"/>
      <protection/>
    </xf>
    <xf numFmtId="171" fontId="26" fillId="26" borderId="0" xfId="33" applyNumberFormat="1" applyFont="1" applyFill="1" applyBorder="1" applyAlignment="1">
      <alignment horizontal="center"/>
      <protection/>
    </xf>
    <xf numFmtId="168" fontId="26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6" fillId="33" borderId="0" xfId="33" applyNumberFormat="1" applyFont="1" applyFill="1" applyBorder="1" applyAlignment="1">
      <alignment/>
      <protection/>
    </xf>
    <xf numFmtId="171" fontId="26" fillId="53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0" fontId="70" fillId="26" borderId="72" xfId="33" applyNumberFormat="1" applyFont="1" applyFill="1" applyBorder="1" applyAlignment="1">
      <alignment horizontal="center"/>
      <protection/>
    </xf>
    <xf numFmtId="170" fontId="70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69" fontId="26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6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6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69" fontId="26" fillId="26" borderId="20" xfId="33" applyNumberFormat="1" applyFont="1" applyFill="1" applyBorder="1">
      <alignment/>
      <protection/>
    </xf>
    <xf numFmtId="168" fontId="26" fillId="26" borderId="20" xfId="33" applyNumberFormat="1" applyFont="1" applyFill="1" applyBorder="1" applyAlignment="1">
      <alignment horizontal="left"/>
      <protection/>
    </xf>
    <xf numFmtId="185" fontId="145" fillId="40" borderId="27" xfId="34" applyNumberFormat="1" applyFont="1" applyFill="1" applyBorder="1" applyAlignment="1">
      <alignment horizontal="center"/>
      <protection/>
    </xf>
    <xf numFmtId="171" fontId="26" fillId="26" borderId="0" xfId="33" applyNumberFormat="1" applyFont="1" applyFill="1" applyBorder="1" applyAlignment="1">
      <alignment horizontal="center"/>
      <protection/>
    </xf>
    <xf numFmtId="171" fontId="26" fillId="33" borderId="0" xfId="33" applyNumberFormat="1" applyFont="1" applyFill="1" applyBorder="1" applyAlignment="1">
      <alignment horizontal="center"/>
      <protection/>
    </xf>
    <xf numFmtId="169" fontId="26" fillId="53" borderId="0" xfId="33" applyNumberFormat="1" applyFont="1" applyFill="1" applyBorder="1" applyAlignment="1">
      <alignment horizontal="center"/>
      <protection/>
    </xf>
    <xf numFmtId="169" fontId="26" fillId="33" borderId="0" xfId="33" applyNumberFormat="1" applyFont="1" applyFill="1" applyBorder="1" applyAlignment="1">
      <alignment horizontal="center"/>
      <protection/>
    </xf>
    <xf numFmtId="168" fontId="26" fillId="26" borderId="0" xfId="33" applyNumberFormat="1" applyFont="1" applyFill="1" applyBorder="1" applyAlignment="1">
      <alignment horizontal="center"/>
      <protection/>
    </xf>
    <xf numFmtId="170" fontId="26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26" fillId="33" borderId="0" xfId="33" applyNumberFormat="1" applyFont="1" applyFill="1" applyBorder="1" applyAlignment="1">
      <alignment horizontal="center"/>
      <protection/>
    </xf>
    <xf numFmtId="170" fontId="26" fillId="38" borderId="0" xfId="33" applyNumberFormat="1" applyFont="1" applyFill="1" applyBorder="1" applyAlignment="1">
      <alignment horizontal="center"/>
      <protection/>
    </xf>
    <xf numFmtId="179" fontId="145" fillId="33" borderId="31" xfId="38" applyNumberFormat="1" applyFont="1" applyFill="1" applyBorder="1" applyAlignment="1" applyProtection="1" quotePrefix="1">
      <alignment horizontal="center" vertical="center"/>
      <protection locked="0"/>
    </xf>
    <xf numFmtId="179" fontId="145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4" fillId="36" borderId="31" xfId="70" applyFill="1" applyBorder="1" applyAlignment="1" applyProtection="1">
      <alignment horizontal="center" vertical="center"/>
      <protection locked="0"/>
    </xf>
    <xf numFmtId="0" fontId="179" fillId="36" borderId="46" xfId="70" applyFont="1" applyFill="1" applyBorder="1" applyAlignment="1" applyProtection="1">
      <alignment horizontal="center" vertical="center"/>
      <protection locked="0"/>
    </xf>
    <xf numFmtId="0" fontId="179" fillId="36" borderId="32" xfId="70" applyFont="1" applyFill="1" applyBorder="1" applyAlignment="1" applyProtection="1">
      <alignment horizontal="center" vertical="center"/>
      <protection locked="0"/>
    </xf>
    <xf numFmtId="38" fontId="144" fillId="33" borderId="31" xfId="70" applyNumberFormat="1" applyFill="1" applyBorder="1" applyAlignment="1" applyProtection="1">
      <alignment horizontal="center" vertical="center"/>
      <protection locked="0"/>
    </xf>
    <xf numFmtId="38" fontId="180" fillId="33" borderId="46" xfId="70" applyNumberFormat="1" applyFont="1" applyFill="1" applyBorder="1" applyAlignment="1" applyProtection="1">
      <alignment horizontal="center" vertical="center"/>
      <protection locked="0"/>
    </xf>
    <xf numFmtId="38" fontId="180" fillId="33" borderId="32" xfId="70" applyNumberFormat="1" applyFont="1" applyFill="1" applyBorder="1" applyAlignment="1" applyProtection="1">
      <alignment horizontal="center" vertical="center"/>
      <protection locked="0"/>
    </xf>
    <xf numFmtId="0" fontId="57" fillId="50" borderId="124" xfId="39" applyFont="1" applyFill="1" applyBorder="1" applyAlignment="1" applyProtection="1" quotePrefix="1">
      <alignment horizontal="center" wrapText="1"/>
      <protection locked="0"/>
    </xf>
    <xf numFmtId="0" fontId="57" fillId="50" borderId="56" xfId="39" applyFont="1" applyFill="1" applyBorder="1" applyAlignment="1" applyProtection="1">
      <alignment horizontal="center" wrapText="1"/>
      <protection locked="0"/>
    </xf>
    <xf numFmtId="0" fontId="57" fillId="50" borderId="125" xfId="39" applyFont="1" applyFill="1" applyBorder="1" applyAlignment="1" applyProtection="1">
      <alignment horizontal="center" wrapText="1"/>
      <protection locked="0"/>
    </xf>
    <xf numFmtId="1" fontId="55" fillId="33" borderId="31" xfId="0" applyNumberFormat="1" applyFont="1" applyFill="1" applyBorder="1" applyAlignment="1" applyProtection="1">
      <alignment horizontal="center"/>
      <protection locked="0"/>
    </xf>
    <xf numFmtId="1" fontId="55" fillId="33" borderId="46" xfId="0" applyNumberFormat="1" applyFont="1" applyFill="1" applyBorder="1" applyAlignment="1" applyProtection="1">
      <alignment horizontal="center"/>
      <protection locked="0"/>
    </xf>
    <xf numFmtId="1" fontId="55" fillId="33" borderId="32" xfId="0" applyNumberFormat="1" applyFont="1" applyFill="1" applyBorder="1" applyAlignment="1" applyProtection="1">
      <alignment horizontal="center"/>
      <protection locked="0"/>
    </xf>
    <xf numFmtId="0" fontId="181" fillId="26" borderId="48" xfId="33" applyFont="1" applyFill="1" applyBorder="1" applyAlignment="1" applyProtection="1" quotePrefix="1">
      <alignment horizontal="center"/>
      <protection/>
    </xf>
    <xf numFmtId="0" fontId="182" fillId="38" borderId="29" xfId="39" applyFont="1" applyFill="1" applyBorder="1" applyAlignment="1" applyProtection="1">
      <alignment horizontal="center" vertical="center" wrapText="1"/>
      <protection locked="0"/>
    </xf>
    <xf numFmtId="0" fontId="182" fillId="38" borderId="20" xfId="39" applyFont="1" applyFill="1" applyBorder="1" applyAlignment="1" applyProtection="1">
      <alignment horizontal="center" vertical="center" wrapText="1"/>
      <protection locked="0"/>
    </xf>
    <xf numFmtId="0" fontId="182" fillId="38" borderId="21" xfId="39" applyFont="1" applyFill="1" applyBorder="1" applyAlignment="1" applyProtection="1">
      <alignment horizontal="center" vertical="center" wrapText="1"/>
      <protection locked="0"/>
    </xf>
    <xf numFmtId="0" fontId="183" fillId="33" borderId="64" xfId="37" applyFont="1" applyFill="1" applyBorder="1" applyAlignment="1" applyProtection="1">
      <alignment horizontal="center"/>
      <protection/>
    </xf>
    <xf numFmtId="0" fontId="183" fillId="33" borderId="0" xfId="37" applyFont="1" applyFill="1" applyBorder="1" applyAlignment="1" applyProtection="1">
      <alignment horizontal="center"/>
      <protection/>
    </xf>
    <xf numFmtId="0" fontId="183" fillId="33" borderId="33" xfId="37" applyFont="1" applyFill="1" applyBorder="1" applyAlignment="1" applyProtection="1">
      <alignment horizontal="center"/>
      <protection/>
    </xf>
    <xf numFmtId="0" fontId="164" fillId="49" borderId="119" xfId="37" applyFont="1" applyFill="1" applyBorder="1" applyAlignment="1" applyProtection="1">
      <alignment horizontal="center"/>
      <protection/>
    </xf>
    <xf numFmtId="0" fontId="184" fillId="26" borderId="0" xfId="36" applyFont="1" applyFill="1" applyBorder="1" applyAlignment="1" applyProtection="1">
      <alignment horizontal="center"/>
      <protection/>
    </xf>
    <xf numFmtId="177" fontId="155" fillId="33" borderId="31" xfId="36" applyNumberFormat="1" applyFont="1" applyFill="1" applyBorder="1" applyAlignment="1" applyProtection="1">
      <alignment horizontal="center"/>
      <protection/>
    </xf>
    <xf numFmtId="177" fontId="155" fillId="33" borderId="46" xfId="36" applyNumberFormat="1" applyFont="1" applyFill="1" applyBorder="1" applyAlignment="1" applyProtection="1">
      <alignment horizontal="center"/>
      <protection/>
    </xf>
    <xf numFmtId="177" fontId="155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0" fontId="18" fillId="50" borderId="17" xfId="39" applyFont="1" applyFill="1" applyBorder="1" applyAlignment="1" applyProtection="1">
      <alignment horizontal="center" vertical="top"/>
      <protection/>
    </xf>
    <xf numFmtId="0" fontId="18" fillId="50" borderId="0" xfId="39" applyFont="1" applyFill="1" applyBorder="1" applyAlignment="1" applyProtection="1">
      <alignment horizontal="center" vertical="top"/>
      <protection/>
    </xf>
    <xf numFmtId="0" fontId="18" fillId="50" borderId="18" xfId="39" applyFont="1" applyFill="1" applyBorder="1" applyAlignment="1" applyProtection="1">
      <alignment horizontal="center" vertical="top"/>
      <protection/>
    </xf>
    <xf numFmtId="177" fontId="185" fillId="26" borderId="0" xfId="36" applyNumberFormat="1" applyFont="1" applyFill="1" applyBorder="1" applyAlignment="1" applyProtection="1">
      <alignment horizontal="center"/>
      <protection/>
    </xf>
    <xf numFmtId="0" fontId="145" fillId="26" borderId="0" xfId="33" applyFont="1" applyFill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26" fillId="54" borderId="45" xfId="40" applyNumberFormat="1" applyFont="1" applyFill="1" applyBorder="1" applyAlignment="1" applyProtection="1">
      <alignment horizontal="center"/>
      <protection/>
    </xf>
    <xf numFmtId="38" fontId="26" fillId="54" borderId="46" xfId="40" applyNumberFormat="1" applyFont="1" applyFill="1" applyBorder="1" applyAlignment="1" applyProtection="1">
      <alignment horizontal="center"/>
      <protection/>
    </xf>
    <xf numFmtId="38" fontId="26" fillId="54" borderId="47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26" fillId="44" borderId="54" xfId="40" applyNumberFormat="1" applyFont="1" applyFill="1" applyBorder="1" applyAlignment="1" applyProtection="1">
      <alignment horizontal="center"/>
      <protection/>
    </xf>
    <xf numFmtId="38" fontId="26" fillId="44" borderId="56" xfId="40" applyNumberFormat="1" applyFont="1" applyFill="1" applyBorder="1" applyAlignment="1" applyProtection="1">
      <alignment horizontal="center"/>
      <protection/>
    </xf>
    <xf numFmtId="38" fontId="26" fillId="44" borderId="57" xfId="40" applyNumberFormat="1" applyFont="1" applyFill="1" applyBorder="1" applyAlignment="1" applyProtection="1">
      <alignment horizontal="center"/>
      <protection/>
    </xf>
    <xf numFmtId="38" fontId="26" fillId="44" borderId="62" xfId="40" applyNumberFormat="1" applyFont="1" applyFill="1" applyBorder="1" applyAlignment="1" applyProtection="1">
      <alignment horizontal="center"/>
      <protection/>
    </xf>
    <xf numFmtId="38" fontId="26" fillId="44" borderId="50" xfId="40" applyNumberFormat="1" applyFont="1" applyFill="1" applyBorder="1" applyAlignment="1" applyProtection="1">
      <alignment horizontal="center"/>
      <protection/>
    </xf>
    <xf numFmtId="38" fontId="26" fillId="44" borderId="51" xfId="40" applyNumberFormat="1" applyFont="1" applyFill="1" applyBorder="1" applyAlignment="1" applyProtection="1">
      <alignment horizontal="center"/>
      <protection/>
    </xf>
    <xf numFmtId="38" fontId="26" fillId="44" borderId="63" xfId="40" applyNumberFormat="1" applyFont="1" applyFill="1" applyBorder="1" applyAlignment="1" applyProtection="1">
      <alignment horizontal="center"/>
      <protection/>
    </xf>
    <xf numFmtId="38" fontId="26" fillId="44" borderId="52" xfId="40" applyNumberFormat="1" applyFont="1" applyFill="1" applyBorder="1" applyAlignment="1" applyProtection="1">
      <alignment horizontal="center"/>
      <protection/>
    </xf>
    <xf numFmtId="38" fontId="26" fillId="44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8" fillId="47" borderId="68" xfId="40" applyNumberFormat="1" applyFont="1" applyFill="1" applyBorder="1" applyAlignment="1" applyProtection="1">
      <alignment horizontal="center"/>
      <protection/>
    </xf>
    <xf numFmtId="38" fontId="158" fillId="47" borderId="20" xfId="40" applyNumberFormat="1" applyFont="1" applyFill="1" applyBorder="1" applyAlignment="1" applyProtection="1">
      <alignment horizontal="center"/>
      <protection/>
    </xf>
    <xf numFmtId="38" fontId="158" fillId="47" borderId="61" xfId="40" applyNumberFormat="1" applyFont="1" applyFill="1" applyBorder="1" applyAlignment="1" applyProtection="1">
      <alignment horizontal="center"/>
      <protection/>
    </xf>
    <xf numFmtId="38" fontId="49" fillId="33" borderId="65" xfId="40" applyNumberFormat="1" applyFont="1" applyFill="1" applyBorder="1" applyAlignment="1" applyProtection="1">
      <alignment horizontal="center"/>
      <protection/>
    </xf>
    <xf numFmtId="38" fontId="49" fillId="33" borderId="48" xfId="40" applyNumberFormat="1" applyFont="1" applyFill="1" applyBorder="1" applyAlignment="1" applyProtection="1">
      <alignment horizontal="center"/>
      <protection/>
    </xf>
    <xf numFmtId="38" fontId="49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78" fillId="44" borderId="45" xfId="40" applyNumberFormat="1" applyFont="1" applyFill="1" applyBorder="1" applyAlignment="1" applyProtection="1">
      <alignment horizontal="center"/>
      <protection/>
    </xf>
    <xf numFmtId="38" fontId="178" fillId="44" borderId="46" xfId="40" applyNumberFormat="1" applyFont="1" applyFill="1" applyBorder="1" applyAlignment="1" applyProtection="1">
      <alignment horizontal="center"/>
      <protection/>
    </xf>
    <xf numFmtId="38" fontId="178" fillId="44" borderId="47" xfId="40" applyNumberFormat="1" applyFont="1" applyFill="1" applyBorder="1" applyAlignment="1" applyProtection="1">
      <alignment horizontal="center"/>
      <protection/>
    </xf>
    <xf numFmtId="178" fontId="186" fillId="46" borderId="31" xfId="33" applyNumberFormat="1" applyFont="1" applyFill="1" applyBorder="1" applyAlignment="1" applyProtection="1">
      <alignment horizontal="center" vertical="center"/>
      <protection locked="0"/>
    </xf>
    <xf numFmtId="178" fontId="186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16" fillId="33" borderId="63" xfId="40" applyNumberFormat="1" applyFont="1" applyFill="1" applyBorder="1" applyAlignment="1" applyProtection="1">
      <alignment horizontal="center"/>
      <protection/>
    </xf>
    <xf numFmtId="38" fontId="16" fillId="33" borderId="52" xfId="40" applyNumberFormat="1" applyFont="1" applyFill="1" applyBorder="1" applyAlignment="1" applyProtection="1">
      <alignment horizontal="center"/>
      <protection/>
    </xf>
    <xf numFmtId="38" fontId="16" fillId="33" borderId="53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79" fontId="8" fillId="33" borderId="31" xfId="38" applyNumberFormat="1" applyFont="1" applyFill="1" applyBorder="1" applyAlignment="1" applyProtection="1" quotePrefix="1">
      <alignment horizontal="center" vertical="center"/>
      <protection/>
    </xf>
    <xf numFmtId="179" fontId="8" fillId="33" borderId="32" xfId="38" applyNumberFormat="1" applyFont="1" applyFill="1" applyBorder="1" applyAlignment="1" applyProtection="1" quotePrefix="1">
      <alignment horizontal="center" vertical="center"/>
      <protection/>
    </xf>
    <xf numFmtId="178" fontId="186" fillId="46" borderId="31" xfId="33" applyNumberFormat="1" applyFont="1" applyFill="1" applyBorder="1" applyAlignment="1" applyProtection="1">
      <alignment horizontal="center" vertical="center"/>
      <protection/>
    </xf>
    <xf numFmtId="178" fontId="186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60" fillId="33" borderId="29" xfId="39" applyFont="1" applyFill="1" applyBorder="1" applyAlignment="1" applyProtection="1">
      <alignment horizontal="center" vertical="center" wrapText="1"/>
      <protection/>
    </xf>
    <xf numFmtId="0" fontId="60" fillId="33" borderId="20" xfId="39" applyFont="1" applyFill="1" applyBorder="1" applyAlignment="1" applyProtection="1">
      <alignment horizontal="center" vertical="center" wrapText="1"/>
      <protection/>
    </xf>
    <xf numFmtId="0" fontId="60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7" fillId="36" borderId="31" xfId="70" applyFont="1" applyFill="1" applyBorder="1" applyAlignment="1" applyProtection="1">
      <alignment horizontal="center" vertical="center"/>
      <protection/>
    </xf>
    <xf numFmtId="0" fontId="187" fillId="36" borderId="46" xfId="70" applyFont="1" applyFill="1" applyBorder="1" applyAlignment="1" applyProtection="1">
      <alignment horizontal="center" vertical="center"/>
      <protection/>
    </xf>
    <xf numFmtId="0" fontId="187" fillId="36" borderId="32" xfId="70" applyFont="1" applyFill="1" applyBorder="1" applyAlignment="1" applyProtection="1">
      <alignment horizontal="center" vertical="center"/>
      <protection/>
    </xf>
    <xf numFmtId="0" fontId="32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85" fillId="33" borderId="0" xfId="36" applyNumberFormat="1" applyFont="1" applyFill="1" applyBorder="1" applyAlignment="1" applyProtection="1">
      <alignment horizontal="center"/>
      <protection/>
    </xf>
    <xf numFmtId="0" fontId="181" fillId="33" borderId="48" xfId="33" applyFont="1" applyFill="1" applyBorder="1" applyAlignment="1" applyProtection="1" quotePrefix="1">
      <alignment horizontal="center"/>
      <protection/>
    </xf>
    <xf numFmtId="177" fontId="4" fillId="26" borderId="31" xfId="36" applyNumberFormat="1" applyFont="1" applyFill="1" applyBorder="1" applyAlignment="1" applyProtection="1">
      <alignment horizontal="center"/>
      <protection/>
    </xf>
    <xf numFmtId="177" fontId="4" fillId="26" borderId="46" xfId="36" applyNumberFormat="1" applyFont="1" applyFill="1" applyBorder="1" applyAlignment="1" applyProtection="1">
      <alignment horizontal="center"/>
      <protection/>
    </xf>
    <xf numFmtId="177" fontId="4" fillId="26" borderId="32" xfId="36" applyNumberFormat="1" applyFont="1" applyFill="1" applyBorder="1" applyAlignment="1" applyProtection="1">
      <alignment horizontal="center"/>
      <protection/>
    </xf>
    <xf numFmtId="0" fontId="183" fillId="33" borderId="119" xfId="37" applyFont="1" applyFill="1" applyBorder="1" applyAlignment="1" applyProtection="1">
      <alignment horizontal="center"/>
      <protection/>
    </xf>
    <xf numFmtId="0" fontId="183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298</v>
      </c>
      <c r="C2" s="100"/>
      <c r="D2" s="100"/>
      <c r="E2" s="100"/>
      <c r="F2" s="100"/>
      <c r="G2" s="100"/>
      <c r="H2" s="100"/>
      <c r="I2" s="100"/>
      <c r="J2" s="100"/>
      <c r="K2" s="100"/>
      <c r="L2" s="553">
        <f>+'Cash-Flow-2019-Leva'!P5</f>
        <v>2019</v>
      </c>
      <c r="M2" s="553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8">
        <f>+'Cash-Flow-2019-Leva'!P5</f>
        <v>2019</v>
      </c>
      <c r="I7" s="558"/>
      <c r="J7" s="67" t="s">
        <v>312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271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270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313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314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315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316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317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318</v>
      </c>
      <c r="E15" s="530">
        <f>+H7-1</f>
        <v>2018</v>
      </c>
      <c r="F15" s="473" t="s">
        <v>319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320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321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322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278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277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287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311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60">
        <f>+'Cash-Flow-2019-Leva'!P5</f>
        <v>2019</v>
      </c>
      <c r="G25" s="560"/>
      <c r="H25" s="560"/>
      <c r="I25" s="560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323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324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325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326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327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328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272</v>
      </c>
      <c r="E32" s="67"/>
      <c r="F32" s="67"/>
      <c r="G32" s="554">
        <f>+H7</f>
        <v>2019</v>
      </c>
      <c r="H32" s="554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329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330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331</v>
      </c>
      <c r="E35" s="67"/>
      <c r="F35" s="67"/>
      <c r="G35" s="67"/>
      <c r="H35" s="67"/>
      <c r="I35" s="67"/>
      <c r="J35" s="67"/>
      <c r="L35" s="556">
        <f>+F25-1</f>
        <v>2018</v>
      </c>
      <c r="M35" s="556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275</v>
      </c>
      <c r="E36" s="67"/>
      <c r="F36" s="534"/>
      <c r="G36" s="534"/>
      <c r="H36" s="534"/>
      <c r="I36" s="535"/>
      <c r="J36" s="536">
        <f>+H7-1</f>
        <v>2018</v>
      </c>
      <c r="K36" s="67" t="s">
        <v>273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274</v>
      </c>
      <c r="E37" s="67"/>
      <c r="F37" s="534"/>
      <c r="G37" s="555">
        <f>+H7-1</f>
        <v>2018</v>
      </c>
      <c r="H37" s="555"/>
      <c r="I37" s="537" t="s">
        <v>332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333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334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276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335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61">
        <f>+'Cash-Flow-2019-Leva'!P5</f>
        <v>2019</v>
      </c>
      <c r="G48" s="561"/>
      <c r="H48" s="561"/>
      <c r="I48" s="561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63">
        <f>+'Cash-Flow-2019-Leva'!P5</f>
        <v>2019</v>
      </c>
      <c r="H49" s="563"/>
      <c r="I49" s="563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62">
        <f>+'Cash-Flow-2019-Leva'!P5</f>
        <v>2019</v>
      </c>
      <c r="G50" s="562"/>
      <c r="H50" s="562"/>
      <c r="I50" s="562"/>
      <c r="J50" s="67" t="s">
        <v>351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352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336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337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338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339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340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341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342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343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57">
        <f>+'Cash-Flow-2019-Leva'!P5</f>
        <v>2019</v>
      </c>
      <c r="F66" s="557"/>
      <c r="G66" s="557"/>
      <c r="H66" s="557"/>
      <c r="I66" s="198" t="s">
        <v>344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9">
        <f>+'Cash-Flow-2019-Leva'!P5</f>
        <v>2019</v>
      </c>
      <c r="I68" s="559"/>
      <c r="J68" s="559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345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346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347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348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349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6" sqref="F12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359</v>
      </c>
      <c r="C1" s="573"/>
      <c r="D1" s="573"/>
      <c r="E1" s="573"/>
      <c r="F1" s="574"/>
      <c r="G1" s="442" t="s">
        <v>252</v>
      </c>
      <c r="H1" s="435"/>
      <c r="I1" s="564" t="s">
        <v>353</v>
      </c>
      <c r="J1" s="565"/>
      <c r="K1" s="436"/>
      <c r="L1" s="444" t="s">
        <v>253</v>
      </c>
      <c r="M1" s="440">
        <v>5500</v>
      </c>
      <c r="N1" s="436"/>
      <c r="O1" s="444" t="s">
        <v>245</v>
      </c>
      <c r="P1" s="463" t="s">
        <v>357</v>
      </c>
      <c r="Q1" s="437"/>
      <c r="R1" s="352" t="s">
        <v>285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356</v>
      </c>
      <c r="C3" s="580"/>
      <c r="D3" s="580"/>
      <c r="E3" s="580"/>
      <c r="F3" s="581"/>
      <c r="G3" s="443" t="s">
        <v>244</v>
      </c>
      <c r="H3" s="569" t="s">
        <v>355</v>
      </c>
      <c r="I3" s="570"/>
      <c r="J3" s="570"/>
      <c r="K3" s="571"/>
      <c r="L3" s="28" t="s">
        <v>254</v>
      </c>
      <c r="M3" s="566" t="s">
        <v>358</v>
      </c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Национален осигурителен институт - Държавно обществено осигуряване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307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30.09.2019 г.</v>
      </c>
      <c r="G11" s="405">
        <f>+P5-1</f>
        <v>2018</v>
      </c>
      <c r="H11" s="15"/>
      <c r="I11" s="109" t="str">
        <f>+O8</f>
        <v>30.09.2019 г.</v>
      </c>
      <c r="J11" s="406">
        <f>+P5-1</f>
        <v>2018</v>
      </c>
      <c r="K11" s="16"/>
      <c r="L11" s="107" t="str">
        <f>+O8</f>
        <v>30.09.2019 г.</v>
      </c>
      <c r="M11" s="407">
        <f>+P5-1</f>
        <v>2018</v>
      </c>
      <c r="N11" s="16"/>
      <c r="O11" s="362" t="str">
        <f>+O8</f>
        <v>30.09.2019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299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300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5554382172</v>
      </c>
      <c r="G15" s="237">
        <v>6772399844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5554382172</v>
      </c>
      <c r="P15" s="387">
        <f t="shared" si="0"/>
        <v>6772399844</v>
      </c>
      <c r="Q15" s="31"/>
      <c r="R15" s="596" t="s">
        <v>154</v>
      </c>
      <c r="S15" s="597"/>
      <c r="T15" s="598"/>
      <c r="U15" s="34"/>
      <c r="V15" s="2"/>
      <c r="W15" s="111" t="s">
        <v>301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292</v>
      </c>
      <c r="C16" s="159"/>
      <c r="D16" s="160"/>
      <c r="E16" s="15"/>
      <c r="F16" s="242">
        <v>0</v>
      </c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04" t="s">
        <v>295</v>
      </c>
      <c r="S16" s="605"/>
      <c r="T16" s="606"/>
      <c r="U16" s="34"/>
      <c r="V16" s="2"/>
      <c r="W16" s="225" t="s">
        <v>302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296</v>
      </c>
      <c r="C17" s="515"/>
      <c r="D17" s="516"/>
      <c r="E17" s="15"/>
      <c r="F17" s="526">
        <v>0</v>
      </c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288</v>
      </c>
      <c r="S17" s="611"/>
      <c r="T17" s="612"/>
      <c r="U17" s="34"/>
      <c r="V17" s="2"/>
      <c r="W17" s="223" t="s">
        <v>303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18564050</v>
      </c>
      <c r="G18" s="237">
        <v>22771762</v>
      </c>
      <c r="H18" s="15"/>
      <c r="I18" s="238"/>
      <c r="J18" s="237"/>
      <c r="K18" s="235"/>
      <c r="L18" s="238"/>
      <c r="M18" s="237"/>
      <c r="N18" s="235"/>
      <c r="O18" s="374">
        <f t="shared" si="0"/>
        <v>18564050</v>
      </c>
      <c r="P18" s="387">
        <f t="shared" si="0"/>
        <v>22771762</v>
      </c>
      <c r="Q18" s="31"/>
      <c r="R18" s="596" t="s">
        <v>155</v>
      </c>
      <c r="S18" s="597"/>
      <c r="T18" s="598"/>
      <c r="U18" s="34"/>
      <c r="V18" s="2"/>
      <c r="W18" s="111" t="s">
        <v>304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4117706</v>
      </c>
      <c r="G19" s="239">
        <v>5354393</v>
      </c>
      <c r="H19" s="15"/>
      <c r="I19" s="240"/>
      <c r="J19" s="239"/>
      <c r="K19" s="235"/>
      <c r="L19" s="240"/>
      <c r="M19" s="239"/>
      <c r="N19" s="235"/>
      <c r="O19" s="369">
        <f t="shared" si="0"/>
        <v>4117706</v>
      </c>
      <c r="P19" s="421">
        <f t="shared" si="0"/>
        <v>5354393</v>
      </c>
      <c r="Q19" s="31"/>
      <c r="R19" s="607" t="s">
        <v>156</v>
      </c>
      <c r="S19" s="608"/>
      <c r="T19" s="609"/>
      <c r="U19" s="34"/>
      <c r="V19" s="2"/>
      <c r="W19" s="225" t="s">
        <v>305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29445</v>
      </c>
      <c r="G20" s="239">
        <v>42889</v>
      </c>
      <c r="H20" s="15"/>
      <c r="I20" s="240"/>
      <c r="J20" s="239"/>
      <c r="K20" s="235"/>
      <c r="L20" s="240"/>
      <c r="M20" s="239"/>
      <c r="N20" s="235"/>
      <c r="O20" s="369">
        <f t="shared" si="0"/>
        <v>29445</v>
      </c>
      <c r="P20" s="421">
        <f t="shared" si="0"/>
        <v>42889</v>
      </c>
      <c r="Q20" s="31"/>
      <c r="R20" s="607" t="s">
        <v>157</v>
      </c>
      <c r="S20" s="608"/>
      <c r="T20" s="609"/>
      <c r="U20" s="34"/>
      <c r="V20" s="2"/>
      <c r="W20" s="223" t="s">
        <v>306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0</v>
      </c>
      <c r="G21" s="239">
        <v>0</v>
      </c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7" t="s">
        <v>158</v>
      </c>
      <c r="S21" s="608"/>
      <c r="T21" s="609"/>
      <c r="U21" s="34"/>
      <c r="V21" s="2"/>
      <c r="W21" s="111" t="s">
        <v>307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456503</v>
      </c>
      <c r="G22" s="239">
        <v>718483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456503</v>
      </c>
      <c r="P22" s="421">
        <f t="shared" si="0"/>
        <v>718483</v>
      </c>
      <c r="Q22" s="31"/>
      <c r="R22" s="607" t="s">
        <v>159</v>
      </c>
      <c r="S22" s="608"/>
      <c r="T22" s="609"/>
      <c r="U22" s="34"/>
      <c r="V22" s="2"/>
      <c r="W22" s="225" t="s">
        <v>308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>
        <v>0</v>
      </c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7" t="s">
        <v>160</v>
      </c>
      <c r="S23" s="608"/>
      <c r="T23" s="609"/>
      <c r="U23" s="34"/>
      <c r="V23" s="2"/>
      <c r="W23" s="223" t="s">
        <v>309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124260231</v>
      </c>
      <c r="G24" s="242">
        <v>93112743</v>
      </c>
      <c r="H24" s="15"/>
      <c r="I24" s="242"/>
      <c r="J24" s="241"/>
      <c r="K24" s="235"/>
      <c r="L24" s="242"/>
      <c r="M24" s="241"/>
      <c r="N24" s="235"/>
      <c r="O24" s="370">
        <f t="shared" si="0"/>
        <v>124260231</v>
      </c>
      <c r="P24" s="393">
        <f t="shared" si="0"/>
        <v>93112743</v>
      </c>
      <c r="Q24" s="31"/>
      <c r="R24" s="613" t="s">
        <v>289</v>
      </c>
      <c r="S24" s="614"/>
      <c r="T24" s="615"/>
      <c r="U24" s="34"/>
      <c r="V24" s="2"/>
      <c r="W24" s="111" t="s">
        <v>310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5701810107</v>
      </c>
      <c r="G25" s="243">
        <f>+ROUND(+SUM(G15,G16,G18,G19,G20,G21,G22,G23,G24),0)</f>
        <v>6894400114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5701810107</v>
      </c>
      <c r="P25" s="372">
        <f>+ROUND(+SUM(P15,P16,P18,P19,P20,P21,P22,P23,P24),0)</f>
        <v>6894400114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>
        <v>3355</v>
      </c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3355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262</v>
      </c>
      <c r="C30" s="152"/>
      <c r="D30" s="153"/>
      <c r="E30" s="15"/>
      <c r="F30" s="244">
        <f>+ROUND(+SUM(F27:F29),0)</f>
        <v>0</v>
      </c>
      <c r="G30" s="243">
        <f>+ROUND(+SUM(G27:G29),0)</f>
        <v>3355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3355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263</v>
      </c>
      <c r="C37" s="152"/>
      <c r="D37" s="153"/>
      <c r="E37" s="15"/>
      <c r="F37" s="256">
        <v>-995031</v>
      </c>
      <c r="G37" s="255">
        <v>-1069242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-995031</v>
      </c>
      <c r="P37" s="372">
        <f t="shared" si="2"/>
        <v>-1069242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-699623</v>
      </c>
      <c r="G38" s="257">
        <v>-893055</v>
      </c>
      <c r="H38" s="15"/>
      <c r="I38" s="258"/>
      <c r="J38" s="257"/>
      <c r="K38" s="235"/>
      <c r="L38" s="258"/>
      <c r="M38" s="257"/>
      <c r="N38" s="235"/>
      <c r="O38" s="384">
        <f t="shared" si="2"/>
        <v>-699623</v>
      </c>
      <c r="P38" s="422">
        <f t="shared" si="2"/>
        <v>-893055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-134935</v>
      </c>
      <c r="G39" s="259">
        <v>-133217</v>
      </c>
      <c r="H39" s="15"/>
      <c r="I39" s="260"/>
      <c r="J39" s="259"/>
      <c r="K39" s="235"/>
      <c r="L39" s="260"/>
      <c r="M39" s="259"/>
      <c r="N39" s="235"/>
      <c r="O39" s="385">
        <f t="shared" si="2"/>
        <v>-134935</v>
      </c>
      <c r="P39" s="423">
        <f t="shared" si="2"/>
        <v>-133217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2243</v>
      </c>
      <c r="G42" s="255">
        <v>18968</v>
      </c>
      <c r="H42" s="15"/>
      <c r="I42" s="256"/>
      <c r="J42" s="255"/>
      <c r="K42" s="235"/>
      <c r="L42" s="256"/>
      <c r="M42" s="255"/>
      <c r="N42" s="235"/>
      <c r="O42" s="371">
        <f>+ROUND(+F42+I42+L42,0)</f>
        <v>2243</v>
      </c>
      <c r="P42" s="372">
        <f>+ROUND(+G42+J42+M42,0)</f>
        <v>18968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>
        <v>-25770</v>
      </c>
      <c r="J44" s="237">
        <v>43427</v>
      </c>
      <c r="K44" s="235"/>
      <c r="L44" s="238"/>
      <c r="M44" s="237"/>
      <c r="N44" s="235"/>
      <c r="O44" s="374">
        <f aca="true" t="shared" si="3" ref="O44:P47">+ROUND(+F44+I44+L44,0)</f>
        <v>-25770</v>
      </c>
      <c r="P44" s="387">
        <f t="shared" si="3"/>
        <v>43427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258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-25770</v>
      </c>
      <c r="J48" s="243">
        <f>+ROUND(+SUM(J44:J47),0)</f>
        <v>43427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-25770</v>
      </c>
      <c r="P48" s="372">
        <f>+ROUND(+SUM(P44:P47),0)</f>
        <v>43427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5700817319</v>
      </c>
      <c r="G50" s="265">
        <f>+ROUND(G25+G30+G37+G42+G48,0)</f>
        <v>6893353195</v>
      </c>
      <c r="H50" s="15"/>
      <c r="I50" s="266">
        <f>+ROUND(I25+I30+I37+I42+I48,0)</f>
        <v>-25770</v>
      </c>
      <c r="J50" s="265">
        <f>+ROUND(J25+J30+J37+J42+J48,0)</f>
        <v>43427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5700791549</v>
      </c>
      <c r="P50" s="389">
        <f>+ROUND(P25+P30+P37+P42+P48,0)</f>
        <v>6893396622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30691313</v>
      </c>
      <c r="G53" s="267">
        <v>41283959</v>
      </c>
      <c r="H53" s="15"/>
      <c r="I53" s="268">
        <v>63200</v>
      </c>
      <c r="J53" s="267">
        <v>38560</v>
      </c>
      <c r="K53" s="235"/>
      <c r="L53" s="268"/>
      <c r="M53" s="267"/>
      <c r="N53" s="235"/>
      <c r="O53" s="375">
        <f aca="true" t="shared" si="4" ref="O53:P57">+ROUND(+F53+I53+L53,0)</f>
        <v>30754513</v>
      </c>
      <c r="P53" s="368">
        <f t="shared" si="4"/>
        <v>41322519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74961</v>
      </c>
      <c r="G54" s="241">
        <v>89949</v>
      </c>
      <c r="H54" s="15"/>
      <c r="I54" s="242"/>
      <c r="J54" s="241"/>
      <c r="K54" s="235"/>
      <c r="L54" s="242"/>
      <c r="M54" s="241"/>
      <c r="N54" s="235"/>
      <c r="O54" s="370">
        <f t="shared" si="4"/>
        <v>74961</v>
      </c>
      <c r="P54" s="393">
        <f t="shared" si="4"/>
        <v>89949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414916</v>
      </c>
      <c r="G55" s="241">
        <v>449599</v>
      </c>
      <c r="H55" s="15"/>
      <c r="I55" s="242"/>
      <c r="J55" s="241"/>
      <c r="K55" s="235"/>
      <c r="L55" s="242"/>
      <c r="M55" s="241"/>
      <c r="N55" s="235"/>
      <c r="O55" s="370">
        <f t="shared" si="4"/>
        <v>414916</v>
      </c>
      <c r="P55" s="393">
        <f t="shared" si="4"/>
        <v>449599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40276257</v>
      </c>
      <c r="G56" s="241">
        <v>48635776</v>
      </c>
      <c r="H56" s="15"/>
      <c r="I56" s="242">
        <v>70189</v>
      </c>
      <c r="J56" s="241">
        <v>40216</v>
      </c>
      <c r="K56" s="235"/>
      <c r="L56" s="242"/>
      <c r="M56" s="241"/>
      <c r="N56" s="235"/>
      <c r="O56" s="370">
        <f t="shared" si="4"/>
        <v>40346446</v>
      </c>
      <c r="P56" s="393">
        <f t="shared" si="4"/>
        <v>48675992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11450177</v>
      </c>
      <c r="G57" s="241">
        <v>13875408</v>
      </c>
      <c r="H57" s="15"/>
      <c r="I57" s="242">
        <v>21043</v>
      </c>
      <c r="J57" s="241">
        <v>12986</v>
      </c>
      <c r="K57" s="235"/>
      <c r="L57" s="242"/>
      <c r="M57" s="241"/>
      <c r="N57" s="235"/>
      <c r="O57" s="370">
        <f t="shared" si="4"/>
        <v>11471220</v>
      </c>
      <c r="P57" s="393">
        <f t="shared" si="4"/>
        <v>13888394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82907624</v>
      </c>
      <c r="G58" s="269">
        <f>+ROUND(+SUM(G53:G57),0)</f>
        <v>104334691</v>
      </c>
      <c r="H58" s="15"/>
      <c r="I58" s="270">
        <f>+ROUND(+SUM(I53:I57),0)</f>
        <v>154432</v>
      </c>
      <c r="J58" s="269">
        <f>+ROUND(+SUM(J53:J57),0)</f>
        <v>91762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83062056</v>
      </c>
      <c r="P58" s="391">
        <f>+ROUND(+SUM(P53:P57),0)</f>
        <v>104426453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>
        <v>239732</v>
      </c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239732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4227607</v>
      </c>
      <c r="G61" s="241">
        <v>4582899</v>
      </c>
      <c r="H61" s="15"/>
      <c r="I61" s="242">
        <v>1639200</v>
      </c>
      <c r="J61" s="241"/>
      <c r="K61" s="235"/>
      <c r="L61" s="242"/>
      <c r="M61" s="241"/>
      <c r="N61" s="235"/>
      <c r="O61" s="370">
        <f t="shared" si="5"/>
        <v>5866807</v>
      </c>
      <c r="P61" s="393">
        <f t="shared" si="5"/>
        <v>4582899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>
        <v>229734</v>
      </c>
      <c r="G62" s="241">
        <v>1048557</v>
      </c>
      <c r="H62" s="15"/>
      <c r="I62" s="242"/>
      <c r="J62" s="241"/>
      <c r="K62" s="235"/>
      <c r="L62" s="242"/>
      <c r="M62" s="241"/>
      <c r="N62" s="235"/>
      <c r="O62" s="370">
        <f t="shared" si="5"/>
        <v>229734</v>
      </c>
      <c r="P62" s="393">
        <f t="shared" si="5"/>
        <v>1048557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259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4457341</v>
      </c>
      <c r="G65" s="269">
        <f>+ROUND(+SUM(G60:G63),0)</f>
        <v>5871188</v>
      </c>
      <c r="H65" s="15"/>
      <c r="I65" s="270">
        <f>+ROUND(+SUM(I60:I63),0)</f>
        <v>1639200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6096541</v>
      </c>
      <c r="P65" s="391">
        <f>+ROUND(+SUM(P60:P63),0)</f>
        <v>5871188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260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8484809349</v>
      </c>
      <c r="G71" s="267">
        <v>11068030972</v>
      </c>
      <c r="H71" s="15"/>
      <c r="I71" s="268"/>
      <c r="J71" s="267"/>
      <c r="K71" s="235"/>
      <c r="L71" s="268"/>
      <c r="M71" s="267"/>
      <c r="N71" s="235"/>
      <c r="O71" s="375">
        <f>+ROUND(+F71+I71+L71,0)</f>
        <v>8484809349</v>
      </c>
      <c r="P71" s="368">
        <f>+ROUND(+G71+J71+M71,0)</f>
        <v>11068030972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>
        <v>430552</v>
      </c>
      <c r="G72" s="241">
        <v>619665</v>
      </c>
      <c r="H72" s="15"/>
      <c r="I72" s="242"/>
      <c r="J72" s="241"/>
      <c r="K72" s="235"/>
      <c r="L72" s="242"/>
      <c r="M72" s="241"/>
      <c r="N72" s="235"/>
      <c r="O72" s="370">
        <f>+ROUND(+F72+I72+L72,0)</f>
        <v>430552</v>
      </c>
      <c r="P72" s="393">
        <f>+ROUND(+G72+J72+M72,0)</f>
        <v>619665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8485239901</v>
      </c>
      <c r="G73" s="269">
        <f>+ROUND(+SUM(G71:G72),0)</f>
        <v>11068650637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8485239901</v>
      </c>
      <c r="P73" s="391">
        <f>+ROUND(+SUM(P71:P72),0)</f>
        <v>11068650637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>
        <v>21924</v>
      </c>
      <c r="G75" s="267">
        <v>22455</v>
      </c>
      <c r="H75" s="15"/>
      <c r="I75" s="268"/>
      <c r="J75" s="267"/>
      <c r="K75" s="235"/>
      <c r="L75" s="268"/>
      <c r="M75" s="267"/>
      <c r="N75" s="235"/>
      <c r="O75" s="375">
        <f>+ROUND(+F75+I75+L75,0)</f>
        <v>21924</v>
      </c>
      <c r="P75" s="368">
        <f>+ROUND(+G75+J75+M75,0)</f>
        <v>22455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21924</v>
      </c>
      <c r="G77" s="269">
        <f>+ROUND(+SUM(G75:G76),0)</f>
        <v>22455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21924</v>
      </c>
      <c r="P77" s="391">
        <f>+ROUND(+SUM(P75:P76),0)</f>
        <v>22455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265</v>
      </c>
      <c r="C79" s="190"/>
      <c r="D79" s="191"/>
      <c r="E79" s="15"/>
      <c r="F79" s="277">
        <f>+ROUND(F58+F65+F69+F73+F77,0)</f>
        <v>8572626790</v>
      </c>
      <c r="G79" s="280">
        <f>+ROUND(G58+G65+G69+G73+G77,0)</f>
        <v>11178878971</v>
      </c>
      <c r="H79" s="15"/>
      <c r="I79" s="277">
        <f>+ROUND(I58+I65+I69+I73+I77,0)</f>
        <v>1793632</v>
      </c>
      <c r="J79" s="280">
        <f>+ROUND(J58+J65+J69+J73+J77,0)</f>
        <v>91762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8574420422</v>
      </c>
      <c r="P79" s="401">
        <f>+ROUND(P58+P65+P69+P73+P77,0)</f>
        <v>11178970733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264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3084293939</v>
      </c>
      <c r="G81" s="237">
        <v>4284706265</v>
      </c>
      <c r="H81" s="15"/>
      <c r="I81" s="238">
        <f>2776299+4297</f>
        <v>2780596</v>
      </c>
      <c r="J81" s="237">
        <v>56995</v>
      </c>
      <c r="K81" s="235"/>
      <c r="L81" s="238"/>
      <c r="M81" s="237"/>
      <c r="N81" s="235"/>
      <c r="O81" s="374">
        <f>+ROUND(+F81+I81+L81,0)</f>
        <v>3087074535</v>
      </c>
      <c r="P81" s="387">
        <f>+ROUND(+G81+J81+M81,0)</f>
        <v>4284763260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266</v>
      </c>
      <c r="C83" s="149"/>
      <c r="D83" s="150"/>
      <c r="E83" s="15"/>
      <c r="F83" s="279">
        <f>+ROUND(F81+F82,0)</f>
        <v>3084293939</v>
      </c>
      <c r="G83" s="278">
        <f>+ROUND(G81+G82,0)</f>
        <v>4284706265</v>
      </c>
      <c r="H83" s="15"/>
      <c r="I83" s="279">
        <f>+ROUND(I81+I82,0)</f>
        <v>2780596</v>
      </c>
      <c r="J83" s="278">
        <f>+ROUND(J81+J82,0)</f>
        <v>56995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3087074535</v>
      </c>
      <c r="P83" s="396">
        <f>+ROUND(P81+P82,0)</f>
        <v>4284763260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267</v>
      </c>
      <c r="C85" s="145"/>
      <c r="D85" s="146"/>
      <c r="E85" s="15"/>
      <c r="F85" s="300">
        <f>+ROUND(F50,0)-ROUND(F79,0)+ROUND(F83,0)</f>
        <v>212484468</v>
      </c>
      <c r="G85" s="299">
        <f>+ROUND(G50,0)-ROUND(G79,0)+ROUND(G83,0)</f>
        <v>-819511</v>
      </c>
      <c r="H85" s="15"/>
      <c r="I85" s="300">
        <f>+ROUND(I50,0)-ROUND(I79,0)+ROUND(I83,0)</f>
        <v>961194</v>
      </c>
      <c r="J85" s="299">
        <f>+ROUND(J50,0)-ROUND(J79,0)+ROUND(J83,0)</f>
        <v>8660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213445662</v>
      </c>
      <c r="P85" s="398">
        <f>+ROUND(P50,0)-ROUND(P79,0)+ROUND(P83,0)</f>
        <v>-810851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-212484468</v>
      </c>
      <c r="G86" s="301">
        <f>+ROUND(G103,0)+ROUND(G122,0)+ROUND(G129,0)-ROUND(G134,0)</f>
        <v>819511</v>
      </c>
      <c r="H86" s="15"/>
      <c r="I86" s="302">
        <f>+ROUND(I103,0)+ROUND(I122,0)+ROUND(I129,0)-ROUND(I134,0)</f>
        <v>-961194</v>
      </c>
      <c r="J86" s="301">
        <f>+ROUND(J103,0)+ROUND(J122,0)+ROUND(J129,0)-ROUND(J134,0)</f>
        <v>-8660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-213445662</v>
      </c>
      <c r="P86" s="400">
        <f>+ROUND(P103,0)+ROUND(P122,0)+ROUND(P129,0)-ROUND(P134,0)</f>
        <v>810851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261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268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286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269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>
        <v>5088496</v>
      </c>
      <c r="G100" s="241">
        <v>7157380</v>
      </c>
      <c r="H100" s="15"/>
      <c r="I100" s="242"/>
      <c r="J100" s="241"/>
      <c r="K100" s="235"/>
      <c r="L100" s="242"/>
      <c r="M100" s="241"/>
      <c r="N100" s="235"/>
      <c r="O100" s="370">
        <f>+ROUND(+F100+I100+L100,0)</f>
        <v>5088496</v>
      </c>
      <c r="P100" s="393">
        <f>+ROUND(+G100+J100+M100,0)</f>
        <v>7157380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5088496</v>
      </c>
      <c r="G101" s="243">
        <f>+ROUND(+SUM(G99:G100),0)</f>
        <v>7157380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5088496</v>
      </c>
      <c r="P101" s="372">
        <f>+ROUND(+SUM(P99:P100),0)</f>
        <v>7157380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5088496</v>
      </c>
      <c r="G103" s="265">
        <f>+ROUND(G91+G97+G101,0)</f>
        <v>7157380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5088496</v>
      </c>
      <c r="P103" s="389">
        <f>+ROUND(P91+P97+P101,0)</f>
        <v>7157380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>
        <v>-154575</v>
      </c>
      <c r="G118" s="267">
        <v>144266</v>
      </c>
      <c r="H118" s="15"/>
      <c r="I118" s="268"/>
      <c r="J118" s="267"/>
      <c r="K118" s="235"/>
      <c r="L118" s="268"/>
      <c r="M118" s="267"/>
      <c r="N118" s="235"/>
      <c r="O118" s="375">
        <f>+ROUND(+F118+I118+L118,0)</f>
        <v>-154575</v>
      </c>
      <c r="P118" s="368">
        <f>+ROUND(+G118+J118+M118,0)</f>
        <v>144266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>
        <v>313689</v>
      </c>
      <c r="G119" s="241">
        <v>5695</v>
      </c>
      <c r="H119" s="15"/>
      <c r="I119" s="242"/>
      <c r="J119" s="241"/>
      <c r="K119" s="235"/>
      <c r="L119" s="242"/>
      <c r="M119" s="241"/>
      <c r="N119" s="235"/>
      <c r="O119" s="370">
        <f>+ROUND(+F119+I119+L119,0)</f>
        <v>313689</v>
      </c>
      <c r="P119" s="393">
        <f>+ROUND(+G119+J119+M119,0)</f>
        <v>5695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159114</v>
      </c>
      <c r="G120" s="269">
        <f>+ROUND(+SUM(G118:G119),0)</f>
        <v>149961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159114</v>
      </c>
      <c r="P120" s="391">
        <f>+ROUND(+SUM(P118:P119),0)</f>
        <v>149961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159114</v>
      </c>
      <c r="G122" s="280">
        <f>+ROUND(G108+G112+G116+G120,0)</f>
        <v>149961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159114</v>
      </c>
      <c r="P122" s="401">
        <f>+ROUND(P108+P112+P116+P120,0)</f>
        <v>149961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1068197</v>
      </c>
      <c r="G125" s="241">
        <v>-139140</v>
      </c>
      <c r="H125" s="15"/>
      <c r="I125" s="242">
        <f>-999855+38661</f>
        <v>-961194</v>
      </c>
      <c r="J125" s="241">
        <v>-8660</v>
      </c>
      <c r="K125" s="235"/>
      <c r="L125" s="242"/>
      <c r="M125" s="241"/>
      <c r="N125" s="235"/>
      <c r="O125" s="370">
        <f t="shared" si="7"/>
        <v>107003</v>
      </c>
      <c r="P125" s="393">
        <f t="shared" si="7"/>
        <v>-147800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-19662331</v>
      </c>
      <c r="G126" s="241">
        <v>-6559067</v>
      </c>
      <c r="H126" s="15"/>
      <c r="I126" s="242"/>
      <c r="J126" s="241"/>
      <c r="K126" s="235"/>
      <c r="L126" s="242"/>
      <c r="M126" s="241"/>
      <c r="N126" s="235"/>
      <c r="O126" s="370">
        <f t="shared" si="7"/>
        <v>-19662331</v>
      </c>
      <c r="P126" s="393">
        <f t="shared" si="7"/>
        <v>-6559067</v>
      </c>
      <c r="Q126" s="31"/>
      <c r="R126" s="637" t="s">
        <v>297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290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291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-18594134</v>
      </c>
      <c r="G129" s="278">
        <f>+ROUND(+SUM(G124,G125,G126,G128),0)</f>
        <v>-6698207</v>
      </c>
      <c r="H129" s="15"/>
      <c r="I129" s="279">
        <f>+ROUND(+SUM(I124,I125,I126,I128),0)</f>
        <v>-961194</v>
      </c>
      <c r="J129" s="278">
        <f>+ROUND(+SUM(J124,J125,J126,J128),0)</f>
        <v>-8660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-19555328</v>
      </c>
      <c r="P129" s="396">
        <f>+ROUND(+SUM(P124,P125,P126,P128),0)</f>
        <v>-6706867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335357</v>
      </c>
      <c r="G131" s="237">
        <v>543779</v>
      </c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335357</v>
      </c>
      <c r="P131" s="387">
        <f t="shared" si="8"/>
        <v>543779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>
        <v>2225</v>
      </c>
      <c r="G132" s="241">
        <v>1955</v>
      </c>
      <c r="H132" s="15"/>
      <c r="I132" s="242"/>
      <c r="J132" s="241"/>
      <c r="K132" s="235"/>
      <c r="L132" s="242"/>
      <c r="M132" s="241"/>
      <c r="N132" s="235"/>
      <c r="O132" s="370">
        <f t="shared" si="8"/>
        <v>2225</v>
      </c>
      <c r="P132" s="393">
        <f t="shared" si="8"/>
        <v>1955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199475526</v>
      </c>
      <c r="G133" s="241">
        <v>335357</v>
      </c>
      <c r="H133" s="15"/>
      <c r="I133" s="242"/>
      <c r="J133" s="241"/>
      <c r="K133" s="235"/>
      <c r="L133" s="242"/>
      <c r="M133" s="241"/>
      <c r="N133" s="235"/>
      <c r="O133" s="370">
        <f t="shared" si="8"/>
        <v>199475526</v>
      </c>
      <c r="P133" s="393">
        <f t="shared" si="8"/>
        <v>335357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199137944</v>
      </c>
      <c r="G134" s="283">
        <f>+ROUND(+G133-G131-G132,0)</f>
        <v>-210377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199137944</v>
      </c>
      <c r="P134" s="404">
        <f>+ROUND(+P133-P131-P132,0)</f>
        <v>-210377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31102019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 t="s">
        <v>360</v>
      </c>
      <c r="G143" s="576"/>
      <c r="H143" s="576"/>
      <c r="I143" s="577"/>
      <c r="J143" s="354"/>
      <c r="K143" s="16"/>
      <c r="L143" s="354" t="s">
        <v>240</v>
      </c>
      <c r="M143" s="575" t="s">
        <v>354</v>
      </c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281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282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283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284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K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2" sqref="C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Национален осигурителен институт - Държавно обществено осигуряване</v>
      </c>
      <c r="C1" s="661"/>
      <c r="D1" s="661"/>
      <c r="E1" s="661"/>
      <c r="F1" s="662"/>
      <c r="G1" s="447" t="s">
        <v>252</v>
      </c>
      <c r="H1" s="128"/>
      <c r="I1" s="663" t="str">
        <f>+'Cash-Flow-2019-Leva'!I1:J1</f>
        <v>121 08 25 21</v>
      </c>
      <c r="J1" s="664"/>
      <c r="K1" s="448"/>
      <c r="L1" s="449" t="s">
        <v>253</v>
      </c>
      <c r="M1" s="450">
        <f>+'Cash-Flow-2019-Leva'!M1</f>
        <v>5500</v>
      </c>
      <c r="N1" s="448"/>
      <c r="O1" s="449" t="s">
        <v>245</v>
      </c>
      <c r="P1" s="462" t="str">
        <f>+'Cash-Flow-2019-Leva'!P1</f>
        <v>02 926 13 06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София, бул."Александър Стамболийски" № 62-64</v>
      </c>
      <c r="C3" s="671"/>
      <c r="D3" s="671"/>
      <c r="E3" s="671"/>
      <c r="F3" s="672"/>
      <c r="G3" s="454" t="s">
        <v>244</v>
      </c>
      <c r="H3" s="673" t="str">
        <f>+'Cash-Flow-2019-Leva'!H3</f>
        <v>www.nssi.bg</v>
      </c>
      <c r="I3" s="674"/>
      <c r="J3" s="674"/>
      <c r="K3" s="675"/>
      <c r="L3" s="51" t="s">
        <v>254</v>
      </c>
      <c r="M3" s="676" t="str">
        <f>+'Cash-Flow-2019-Leva'!M3:P3</f>
        <v>Pepa.Hadzhieva@nssi.bg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Национален осигурителен институт - Държавно обществено осигуряване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30.09.2019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30.09.2019 г.</v>
      </c>
      <c r="G11" s="405">
        <f>+'Cash-Flow-2019-Leva'!G11</f>
        <v>2018</v>
      </c>
      <c r="H11" s="5"/>
      <c r="I11" s="109" t="str">
        <f>+O8</f>
        <v>30.09.2019 г.</v>
      </c>
      <c r="J11" s="406">
        <f>+'Cash-Flow-2019-Leva'!J11</f>
        <v>2018</v>
      </c>
      <c r="K11" s="5"/>
      <c r="L11" s="107" t="str">
        <f>+O8</f>
        <v>30.09.2019 г.</v>
      </c>
      <c r="M11" s="407">
        <f>+'Cash-Flow-2019-Leva'!M11</f>
        <v>2018</v>
      </c>
      <c r="N11" s="475"/>
      <c r="O11" s="362" t="str">
        <f>+O8</f>
        <v>30.09.2019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5554382.172</v>
      </c>
      <c r="G15" s="263">
        <f>+'Cash-Flow-2019-Leva'!G15/1000</f>
        <v>6772399.844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5554382.172</v>
      </c>
      <c r="P15" s="387">
        <f aca="true" t="shared" si="1" ref="P15:P24">+G15+J15+M15</f>
        <v>6772399.844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292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296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18564.05</v>
      </c>
      <c r="G18" s="263">
        <f>+'Cash-Flow-2019-Leva'!G18/1000</f>
        <v>22771.762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18564.05</v>
      </c>
      <c r="P18" s="387">
        <f t="shared" si="1"/>
        <v>22771.762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4117.706</v>
      </c>
      <c r="G19" s="286">
        <f>+'Cash-Flow-2019-Leva'!G19/1000</f>
        <v>5354.393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4117.706</v>
      </c>
      <c r="P19" s="421">
        <f t="shared" si="1"/>
        <v>5354.393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29.445</v>
      </c>
      <c r="G20" s="286">
        <f>+'Cash-Flow-2019-Leva'!G20/1000</f>
        <v>42.889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29.445</v>
      </c>
      <c r="P20" s="421">
        <f t="shared" si="1"/>
        <v>42.889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456.503</v>
      </c>
      <c r="G22" s="286">
        <f>+'Cash-Flow-2019-Leva'!G22/1000</f>
        <v>718.483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456.503</v>
      </c>
      <c r="P22" s="421">
        <f t="shared" si="1"/>
        <v>718.483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124260.231</v>
      </c>
      <c r="G24" s="275">
        <f>+'Cash-Flow-2019-Leva'!G24/1000</f>
        <v>93112.743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124260.231</v>
      </c>
      <c r="P24" s="393">
        <f t="shared" si="1"/>
        <v>93112.743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5701810.107</v>
      </c>
      <c r="G25" s="243">
        <f>+SUM(G15,G16,G18,G19,G20,G21,G22,G23,G24)</f>
        <v>6894400.114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5701810.107</v>
      </c>
      <c r="P25" s="372">
        <f>+SUM(P15,P16,P18,P19,P20,P21,P22,P23,P24)</f>
        <v>6894400.114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3.355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3.355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262</v>
      </c>
      <c r="C30" s="152"/>
      <c r="D30" s="153"/>
      <c r="E30" s="285"/>
      <c r="F30" s="244">
        <f>+SUM(F27:F29)</f>
        <v>0</v>
      </c>
      <c r="G30" s="243">
        <f>+SUM(G27:G29)</f>
        <v>3.355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3.355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263</v>
      </c>
      <c r="C37" s="152"/>
      <c r="D37" s="153"/>
      <c r="E37" s="285"/>
      <c r="F37" s="244">
        <f>+'Cash-Flow-2019-Leva'!F37/1000</f>
        <v>-995.031</v>
      </c>
      <c r="G37" s="243">
        <f>+'Cash-Flow-2019-Leva'!G37/1000</f>
        <v>-1069.242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-995.031</v>
      </c>
      <c r="P37" s="372">
        <f t="shared" si="3"/>
        <v>-1069.242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-699.623</v>
      </c>
      <c r="G38" s="288">
        <f>+'Cash-Flow-2019-Leva'!G38/1000</f>
        <v>-893.055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-699.623</v>
      </c>
      <c r="P38" s="422">
        <f t="shared" si="3"/>
        <v>-893.055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-134.935</v>
      </c>
      <c r="G39" s="290">
        <f>+'Cash-Flow-2019-Leva'!G39/1000</f>
        <v>-133.217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-134.935</v>
      </c>
      <c r="P39" s="423">
        <f t="shared" si="3"/>
        <v>-133.217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2.243</v>
      </c>
      <c r="G42" s="243">
        <f>+'Cash-Flow-2019-Leva'!G42/1000</f>
        <v>18.968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2.243</v>
      </c>
      <c r="P42" s="372">
        <f>+G42+J42+M42</f>
        <v>18.968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-25.77</v>
      </c>
      <c r="J44" s="263">
        <f>+'Cash-Flow-2019-Leva'!J44/1000</f>
        <v>43.427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-25.77</v>
      </c>
      <c r="P44" s="387">
        <f t="shared" si="4"/>
        <v>43.427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258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-25.77</v>
      </c>
      <c r="J48" s="243">
        <f>+SUM(J44:J47)</f>
        <v>43.427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-25.77</v>
      </c>
      <c r="P48" s="372">
        <f>+SUM(P44:P47)</f>
        <v>43.427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5700817.318999999</v>
      </c>
      <c r="G50" s="265">
        <f>+G25+G30+G37+G42+G48</f>
        <v>6893353.195000001</v>
      </c>
      <c r="H50" s="285"/>
      <c r="I50" s="266">
        <f>+I25+I30+I37+I42+I48</f>
        <v>-25.77</v>
      </c>
      <c r="J50" s="265">
        <f>+J25+J30+J37+J42+J48</f>
        <v>43.427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5700791.549</v>
      </c>
      <c r="P50" s="389">
        <f>+P25+P30+P37+P42+P48</f>
        <v>6893396.622000001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30691.313</v>
      </c>
      <c r="G53" s="236">
        <f>+'Cash-Flow-2019-Leva'!G53/1000</f>
        <v>41283.959</v>
      </c>
      <c r="H53" s="285"/>
      <c r="I53" s="246">
        <f>+'Cash-Flow-2019-Leva'!I53/1000</f>
        <v>63.2</v>
      </c>
      <c r="J53" s="236">
        <f>+'Cash-Flow-2019-Leva'!J53/1000</f>
        <v>38.56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30754.513</v>
      </c>
      <c r="P53" s="368">
        <f t="shared" si="5"/>
        <v>41322.519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74.961</v>
      </c>
      <c r="G54" s="275">
        <f>+'Cash-Flow-2019-Leva'!G54/1000</f>
        <v>89.949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74.961</v>
      </c>
      <c r="P54" s="393">
        <f t="shared" si="5"/>
        <v>89.949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414.916</v>
      </c>
      <c r="G55" s="275">
        <f>+'Cash-Flow-2019-Leva'!G55/1000</f>
        <v>449.599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414.916</v>
      </c>
      <c r="P55" s="393">
        <f t="shared" si="5"/>
        <v>449.599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40276.257</v>
      </c>
      <c r="G56" s="275">
        <f>+'Cash-Flow-2019-Leva'!G56/1000</f>
        <v>48635.776</v>
      </c>
      <c r="H56" s="285"/>
      <c r="I56" s="276">
        <f>+'Cash-Flow-2019-Leva'!I56/1000</f>
        <v>70.189</v>
      </c>
      <c r="J56" s="275">
        <f>+'Cash-Flow-2019-Leva'!J56/1000</f>
        <v>40.216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40346.445999999996</v>
      </c>
      <c r="P56" s="393">
        <f t="shared" si="5"/>
        <v>48675.992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11450.177</v>
      </c>
      <c r="G57" s="275">
        <f>+'Cash-Flow-2019-Leva'!G57/1000</f>
        <v>13875.408</v>
      </c>
      <c r="H57" s="285"/>
      <c r="I57" s="276">
        <f>+'Cash-Flow-2019-Leva'!I57/1000</f>
        <v>21.043</v>
      </c>
      <c r="J57" s="275">
        <f>+'Cash-Flow-2019-Leva'!J57/1000</f>
        <v>12.986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11471.22</v>
      </c>
      <c r="P57" s="393">
        <f t="shared" si="5"/>
        <v>13888.394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82907.624</v>
      </c>
      <c r="G58" s="269">
        <f>+SUM(G53:G57)</f>
        <v>104334.69099999999</v>
      </c>
      <c r="H58" s="285"/>
      <c r="I58" s="270">
        <f>+SUM(I53:I57)</f>
        <v>154.43200000000002</v>
      </c>
      <c r="J58" s="269">
        <f>+SUM(J53:J57)</f>
        <v>91.76200000000001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83062.056</v>
      </c>
      <c r="P58" s="391">
        <f>+SUM(P53:P57)</f>
        <v>104426.45300000001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239.732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239.732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4227.607</v>
      </c>
      <c r="G61" s="275">
        <f>+'Cash-Flow-2019-Leva'!G61/1000</f>
        <v>4582.899</v>
      </c>
      <c r="H61" s="285"/>
      <c r="I61" s="276">
        <f>+'Cash-Flow-2019-Leva'!I61/1000</f>
        <v>1639.2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5866.807</v>
      </c>
      <c r="P61" s="393">
        <f t="shared" si="6"/>
        <v>4582.899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229.734</v>
      </c>
      <c r="G62" s="275">
        <f>+'Cash-Flow-2019-Leva'!G62/1000</f>
        <v>1048.557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229.734</v>
      </c>
      <c r="P62" s="393">
        <f t="shared" si="6"/>
        <v>1048.557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259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4457.341</v>
      </c>
      <c r="G65" s="269">
        <f>+SUM(G60:G63)</f>
        <v>5871.188</v>
      </c>
      <c r="H65" s="285"/>
      <c r="I65" s="270">
        <f>+SUM(I60:I63)</f>
        <v>1639.2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6096.541</v>
      </c>
      <c r="P65" s="391">
        <f>+SUM(P60:P63)</f>
        <v>5871.188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260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8484809.349</v>
      </c>
      <c r="G71" s="236">
        <f>+'Cash-Flow-2019-Leva'!G71/1000</f>
        <v>11068030.972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8484809.349</v>
      </c>
      <c r="P71" s="368">
        <f>+G71+J71+M71</f>
        <v>11068030.972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430.552</v>
      </c>
      <c r="G72" s="275">
        <f>+'Cash-Flow-2019-Leva'!G72/1000</f>
        <v>619.665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430.552</v>
      </c>
      <c r="P72" s="393">
        <f>+G72+J72+M72</f>
        <v>619.665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8485239.900999999</v>
      </c>
      <c r="G73" s="269">
        <f>+SUM(G71:G72)</f>
        <v>11068650.636999998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8485239.900999999</v>
      </c>
      <c r="P73" s="391">
        <f>+SUM(P71:P72)</f>
        <v>11068650.636999998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21.924</v>
      </c>
      <c r="G75" s="236">
        <f>+'Cash-Flow-2019-Leva'!G75/1000</f>
        <v>22.455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21.924</v>
      </c>
      <c r="P75" s="368">
        <f>+G75+J75+M75</f>
        <v>22.455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21.924</v>
      </c>
      <c r="G77" s="269">
        <f>+SUM(G75:G76)</f>
        <v>22.455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21.924</v>
      </c>
      <c r="P77" s="391">
        <f>+SUM(P75:P76)</f>
        <v>22.455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265</v>
      </c>
      <c r="C79" s="190"/>
      <c r="D79" s="191"/>
      <c r="E79" s="285"/>
      <c r="F79" s="277">
        <f>+F58+F65+F69+F73+F77</f>
        <v>8572626.79</v>
      </c>
      <c r="G79" s="280">
        <f>+G58+G65+G69+G73+G77</f>
        <v>11178878.970999999</v>
      </c>
      <c r="H79" s="285"/>
      <c r="I79" s="277">
        <f>+I58+I65+I69+I73+I77</f>
        <v>1793.632</v>
      </c>
      <c r="J79" s="280">
        <f>+J58+J65+J69+J73+J77</f>
        <v>91.76200000000001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8574420.421999998</v>
      </c>
      <c r="P79" s="401">
        <f>+P58+P65+P69+P73+P77</f>
        <v>11178970.733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264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3084293.939</v>
      </c>
      <c r="G81" s="263">
        <f>+'Cash-Flow-2019-Leva'!G81/1000</f>
        <v>4284706.265</v>
      </c>
      <c r="H81" s="285"/>
      <c r="I81" s="264">
        <f>+'Cash-Flow-2019-Leva'!I81/1000</f>
        <v>2780.596</v>
      </c>
      <c r="J81" s="263">
        <f>+'Cash-Flow-2019-Leva'!J81/1000</f>
        <v>56.995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3087074.5349999997</v>
      </c>
      <c r="P81" s="387">
        <f>+G81+J81+M81</f>
        <v>4284763.26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266</v>
      </c>
      <c r="C83" s="149"/>
      <c r="D83" s="150"/>
      <c r="E83" s="285"/>
      <c r="F83" s="279">
        <f>+F81+F82</f>
        <v>3084293.939</v>
      </c>
      <c r="G83" s="278">
        <f>+G81+G82</f>
        <v>4284706.265</v>
      </c>
      <c r="H83" s="285"/>
      <c r="I83" s="279">
        <f>+I81+I82</f>
        <v>2780.596</v>
      </c>
      <c r="J83" s="278">
        <f>+J81+J82</f>
        <v>56.995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3087074.5349999997</v>
      </c>
      <c r="P83" s="396">
        <f>+P81+P82</f>
        <v>4284763.26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267</v>
      </c>
      <c r="C85" s="145"/>
      <c r="D85" s="146"/>
      <c r="E85" s="285"/>
      <c r="F85" s="300">
        <f>+F50-F79+F83</f>
        <v>212484.46799999988</v>
      </c>
      <c r="G85" s="299">
        <f>+G50-G79+G83</f>
        <v>-819.5109999980778</v>
      </c>
      <c r="H85" s="285"/>
      <c r="I85" s="300">
        <f>+I50-I79+I83</f>
        <v>961.194</v>
      </c>
      <c r="J85" s="299">
        <f>+J50-J79+J83</f>
        <v>8.659999999999982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213445.66200000094</v>
      </c>
      <c r="P85" s="398">
        <f>+P50-P79+P83</f>
        <v>-810.8509999979287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-212484.46800000002</v>
      </c>
      <c r="G86" s="301">
        <f>+G103+G122+G129-G134</f>
        <v>819.511</v>
      </c>
      <c r="H86" s="285"/>
      <c r="I86" s="302">
        <f>+I103+I122+I129-I134</f>
        <v>-961.194</v>
      </c>
      <c r="J86" s="301">
        <f>+J103+J122+J129-J134</f>
        <v>-8.66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-213445.662</v>
      </c>
      <c r="P86" s="400">
        <f>+P103+P122+P129-P134</f>
        <v>810.8510000000001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261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268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286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269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5088.496</v>
      </c>
      <c r="G100" s="275">
        <f>+'Cash-Flow-2019-Leva'!G100/1000</f>
        <v>7157.38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5088.496</v>
      </c>
      <c r="P100" s="393">
        <f>+G100+J100+M100</f>
        <v>7157.38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5088.496</v>
      </c>
      <c r="G101" s="243">
        <f>+SUM(G99:G100)</f>
        <v>7157.38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5088.496</v>
      </c>
      <c r="P101" s="372">
        <f>+SUM(P99:P100)</f>
        <v>7157.38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5088.496</v>
      </c>
      <c r="G103" s="265">
        <f>+G91+G97+G101</f>
        <v>7157.38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5088.496</v>
      </c>
      <c r="P103" s="389">
        <f>+P91+P97+P101</f>
        <v>7157.38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-154.575</v>
      </c>
      <c r="G118" s="236">
        <f>+'Cash-Flow-2019-Leva'!G118/1000</f>
        <v>144.266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-154.575</v>
      </c>
      <c r="P118" s="368">
        <f>+G118+J118+M118</f>
        <v>144.266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313.689</v>
      </c>
      <c r="G119" s="275">
        <f>+'Cash-Flow-2019-Leva'!G119/1000</f>
        <v>5.695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313.689</v>
      </c>
      <c r="P119" s="393">
        <f>+G119+J119+M119</f>
        <v>5.695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159.11400000000003</v>
      </c>
      <c r="G120" s="269">
        <f>+SUM(G118:G119)</f>
        <v>149.96099999999998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159.11400000000003</v>
      </c>
      <c r="P120" s="391">
        <f>+SUM(P118:P119)</f>
        <v>149.96099999999998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159.11400000000003</v>
      </c>
      <c r="G122" s="280">
        <f>+G108+G112+G116+G120</f>
        <v>149.96099999999998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159.11400000000003</v>
      </c>
      <c r="P122" s="401">
        <f>+P108+P112+P116+P120</f>
        <v>149.96099999999998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1068.197</v>
      </c>
      <c r="G125" s="275">
        <f>+'Cash-Flow-2019-Leva'!G125/1000</f>
        <v>-139.14</v>
      </c>
      <c r="H125" s="285"/>
      <c r="I125" s="276">
        <f>+'Cash-Flow-2019-Leva'!I125/1000</f>
        <v>-961.194</v>
      </c>
      <c r="J125" s="275">
        <f>+'Cash-Flow-2019-Leva'!J125/1000</f>
        <v>-8.66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107.00299999999993</v>
      </c>
      <c r="P125" s="393">
        <f t="shared" si="8"/>
        <v>-147.79999999999998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-19662.331</v>
      </c>
      <c r="G126" s="275">
        <f>+'Cash-Flow-2019-Leva'!G126/1000</f>
        <v>-6559.067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-19662.331</v>
      </c>
      <c r="P126" s="393">
        <f t="shared" si="8"/>
        <v>-6559.067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290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-18594.134</v>
      </c>
      <c r="G129" s="278">
        <f>+SUM(G124,G125,G126,G128)</f>
        <v>-6698.207</v>
      </c>
      <c r="H129" s="285"/>
      <c r="I129" s="279">
        <f>+SUM(I124,I125,I126,I128)</f>
        <v>-961.194</v>
      </c>
      <c r="J129" s="278">
        <f>+SUM(J124,J125,J126,J128)</f>
        <v>-8.66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-19555.327999999998</v>
      </c>
      <c r="P129" s="396">
        <f>+SUM(P124,P125,P126,P128)</f>
        <v>-6706.867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335.357</v>
      </c>
      <c r="G131" s="263">
        <f>+'Cash-Flow-2019-Leva'!G131/1000</f>
        <v>543.779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aca="true" t="shared" si="9" ref="O131:P133">+F131+I131+L131</f>
        <v>335.357</v>
      </c>
      <c r="P131" s="387">
        <f t="shared" si="9"/>
        <v>543.779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2.225</v>
      </c>
      <c r="G132" s="275">
        <f>+'Cash-Flow-2019-Leva'!G132/1000</f>
        <v>1.955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2.225</v>
      </c>
      <c r="P132" s="393">
        <f t="shared" si="9"/>
        <v>1.955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199475.526</v>
      </c>
      <c r="G133" s="275">
        <f>+'Cash-Flow-2019-Leva'!G133/1000</f>
        <v>335.357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6"/>
      <c r="O133" s="370">
        <f t="shared" si="9"/>
        <v>199475.526</v>
      </c>
      <c r="P133" s="393">
        <f t="shared" si="9"/>
        <v>335.357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199137.94400000002</v>
      </c>
      <c r="G134" s="283">
        <f>+G133-G131-G132</f>
        <v>-210.37699999999998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6"/>
      <c r="O134" s="403">
        <f>+O133-O131-O132</f>
        <v>199137.94400000002</v>
      </c>
      <c r="P134" s="404">
        <f>+P133-P131-P132</f>
        <v>-210.37699999999998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31102019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281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282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279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280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293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294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Tanya B. Zhekova</cp:lastModifiedBy>
  <cp:lastPrinted>2019-04-23T11:02:21Z</cp:lastPrinted>
  <dcterms:created xsi:type="dcterms:W3CDTF">2015-12-01T07:17:04Z</dcterms:created>
  <dcterms:modified xsi:type="dcterms:W3CDTF">2019-10-30T13:58:04Z</dcterms:modified>
  <cp:category/>
  <cp:version/>
  <cp:contentType/>
  <cp:contentStatus/>
</cp:coreProperties>
</file>