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data\Statistics_NSSI_Site\"/>
    </mc:Choice>
  </mc:AlternateContent>
  <xr:revisionPtr revIDLastSave="0" documentId="13_ncr:1_{8B8EB657-3E01-41FB-9F71-05E8DFE723F4}" xr6:coauthVersionLast="36" xr6:coauthVersionMax="36" xr10:uidLastSave="{00000000-0000-0000-0000-000000000000}"/>
  <bookViews>
    <workbookView xWindow="0" yWindow="0" windowWidth="24000" windowHeight="8625" firstSheet="1" activeTab="1" xr2:uid="{290D62B4-89DC-48CA-AF36-238C8A3BDBF3}"/>
  </bookViews>
  <sheets>
    <sheet name="BG" sheetId="5" state="hidden" r:id="rId1"/>
    <sheet name="EN" sheetId="6" r:id="rId2"/>
  </sheets>
  <definedNames>
    <definedName name="\M" localSheetId="0">BG!#REF!</definedName>
    <definedName name="\M" localSheetId="1">EN!#REF!</definedName>
    <definedName name="\M">#REF!</definedName>
    <definedName name="_xlnm.Print_Area" localSheetId="0">BG!$A$1:$R$57</definedName>
    <definedName name="_xlnm.Print_Area" localSheetId="1">EN!$A$1:$Q$57</definedName>
    <definedName name="_xlnm.Print_Titles" localSheetId="0">BG!$3:$3</definedName>
    <definedName name="_xlnm.Print_Titles" localSheetId="1">EN!$3:$3</definedName>
  </definedNames>
  <calcPr calcId="191029"/>
</workbook>
</file>

<file path=xl/calcChain.xml><?xml version="1.0" encoding="utf-8"?>
<calcChain xmlns="http://schemas.openxmlformats.org/spreadsheetml/2006/main">
  <c r="E34" i="5" l="1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D34" i="5"/>
  <c r="Q33" i="5"/>
  <c r="D51" i="5" l="1"/>
  <c r="D52" i="5" l="1"/>
  <c r="F52" i="5"/>
  <c r="G52" i="5"/>
  <c r="H52" i="5"/>
  <c r="E51" i="5"/>
  <c r="F51" i="5"/>
  <c r="G51" i="5"/>
  <c r="H51" i="5"/>
  <c r="I51" i="5"/>
  <c r="J51" i="5"/>
  <c r="K51" i="5"/>
  <c r="M51" i="5"/>
  <c r="N51" i="5"/>
  <c r="O51" i="5"/>
  <c r="P51" i="5"/>
  <c r="Q51" i="5"/>
  <c r="R51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F49" i="5"/>
  <c r="G49" i="5"/>
  <c r="H49" i="5"/>
  <c r="I49" i="5"/>
  <c r="J49" i="5"/>
  <c r="K49" i="5"/>
  <c r="L49" i="5"/>
  <c r="M49" i="5"/>
  <c r="N49" i="5"/>
  <c r="O49" i="5"/>
  <c r="C39" i="5"/>
  <c r="D9" i="5"/>
  <c r="C51" i="5"/>
  <c r="C50" i="5"/>
  <c r="C49" i="5"/>
  <c r="C48" i="5"/>
  <c r="C52" i="5"/>
  <c r="E20" i="5"/>
  <c r="E52" i="5" s="1"/>
  <c r="D20" i="5"/>
  <c r="C20" i="5"/>
  <c r="E49" i="5"/>
  <c r="E48" i="5"/>
  <c r="E38" i="5" l="1"/>
  <c r="C41" i="5"/>
  <c r="D32" i="5"/>
  <c r="D46" i="5" l="1"/>
  <c r="D49" i="5"/>
  <c r="D48" i="5"/>
  <c r="D44" i="5"/>
  <c r="D43" i="5"/>
  <c r="D42" i="5"/>
  <c r="D41" i="5"/>
  <c r="D39" i="5" l="1"/>
  <c r="D38" i="5"/>
  <c r="D37" i="5"/>
  <c r="D36" i="5"/>
  <c r="R20" i="5" l="1"/>
  <c r="R52" i="5" s="1"/>
  <c r="Q9" i="5" l="1"/>
  <c r="R9" i="5"/>
  <c r="R38" i="5"/>
  <c r="R36" i="5"/>
  <c r="R46" i="5"/>
  <c r="R48" i="5"/>
  <c r="R49" i="5"/>
  <c r="R44" i="5"/>
  <c r="R42" i="5"/>
  <c r="R40" i="5"/>
  <c r="R39" i="5"/>
  <c r="R41" i="5"/>
  <c r="R32" i="5" l="1"/>
  <c r="P28" i="5" l="1"/>
  <c r="P20" i="5"/>
  <c r="P52" i="5" s="1"/>
  <c r="Q20" i="5"/>
  <c r="Q52" i="5" s="1"/>
  <c r="Q28" i="5" l="1"/>
  <c r="Q45" i="5"/>
  <c r="Q46" i="5" s="1"/>
  <c r="Q40" i="5"/>
  <c r="Q39" i="5"/>
  <c r="Q43" i="5"/>
  <c r="Q44" i="5" s="1"/>
  <c r="Q42" i="5"/>
  <c r="Q41" i="5"/>
  <c r="Q48" i="5"/>
  <c r="Q49" i="5"/>
  <c r="P48" i="5"/>
  <c r="Q38" i="5"/>
  <c r="Q36" i="5"/>
  <c r="Q32" i="5"/>
  <c r="P9" i="5" l="1"/>
  <c r="A49" i="6" l="1"/>
  <c r="A50" i="6" s="1"/>
  <c r="A51" i="6" s="1"/>
  <c r="A52" i="6" s="1"/>
  <c r="A23" i="6"/>
  <c r="A24" i="6" s="1"/>
  <c r="A25" i="6" s="1"/>
  <c r="A26" i="6" s="1"/>
  <c r="A27" i="6" s="1"/>
  <c r="A28" i="6" s="1"/>
  <c r="A49" i="5"/>
  <c r="A50" i="5" s="1"/>
  <c r="A51" i="5" s="1"/>
  <c r="A52" i="5" s="1"/>
  <c r="A23" i="5"/>
  <c r="A24" i="5" s="1"/>
  <c r="A25" i="5" s="1"/>
  <c r="A26" i="5" s="1"/>
  <c r="A27" i="5" s="1"/>
  <c r="A28" i="5" s="1"/>
  <c r="P49" i="5" l="1"/>
  <c r="P46" i="5" l="1"/>
  <c r="P44" i="5"/>
  <c r="P38" i="5"/>
  <c r="P36" i="5"/>
  <c r="P32" i="5"/>
  <c r="O39" i="5" l="1"/>
  <c r="P40" i="5" s="1"/>
  <c r="O41" i="5"/>
  <c r="P42" i="5" s="1"/>
  <c r="O20" i="5"/>
  <c r="O52" i="5" s="1"/>
  <c r="O46" i="5"/>
  <c r="O32" i="5"/>
  <c r="O38" i="5"/>
  <c r="O36" i="5"/>
  <c r="O48" i="5"/>
  <c r="N48" i="5" l="1"/>
  <c r="M48" i="5"/>
  <c r="L48" i="5"/>
  <c r="K48" i="5"/>
  <c r="J48" i="5"/>
  <c r="I48" i="5"/>
  <c r="N46" i="5"/>
  <c r="M46" i="5"/>
  <c r="L46" i="5"/>
  <c r="K46" i="5"/>
  <c r="J46" i="5"/>
  <c r="I46" i="5"/>
  <c r="M44" i="5"/>
  <c r="L44" i="5"/>
  <c r="K44" i="5"/>
  <c r="J44" i="5"/>
  <c r="I44" i="5"/>
  <c r="N43" i="5"/>
  <c r="K42" i="5"/>
  <c r="J42" i="5"/>
  <c r="I42" i="5"/>
  <c r="N41" i="5"/>
  <c r="O42" i="5" s="1"/>
  <c r="M41" i="5"/>
  <c r="L41" i="5"/>
  <c r="L42" i="5" s="1"/>
  <c r="K40" i="5"/>
  <c r="J40" i="5"/>
  <c r="I40" i="5"/>
  <c r="N39" i="5"/>
  <c r="O40" i="5" s="1"/>
  <c r="M39" i="5"/>
  <c r="L39" i="5"/>
  <c r="L40" i="5" s="1"/>
  <c r="N38" i="5"/>
  <c r="M38" i="5"/>
  <c r="L38" i="5"/>
  <c r="K38" i="5"/>
  <c r="J38" i="5"/>
  <c r="I38" i="5"/>
  <c r="N36" i="5"/>
  <c r="M36" i="5"/>
  <c r="L36" i="5"/>
  <c r="K36" i="5"/>
  <c r="J36" i="5"/>
  <c r="I36" i="5"/>
  <c r="N32" i="5"/>
  <c r="K32" i="5"/>
  <c r="J32" i="5"/>
  <c r="I32" i="5"/>
  <c r="L31" i="5"/>
  <c r="L51" i="5" s="1"/>
  <c r="J26" i="5"/>
  <c r="N20" i="5"/>
  <c r="N52" i="5" s="1"/>
  <c r="M20" i="5"/>
  <c r="M52" i="5" s="1"/>
  <c r="L20" i="5"/>
  <c r="L52" i="5" s="1"/>
  <c r="K20" i="5"/>
  <c r="K52" i="5" s="1"/>
  <c r="J20" i="5"/>
  <c r="J52" i="5" s="1"/>
  <c r="I20" i="5"/>
  <c r="I52" i="5" s="1"/>
  <c r="K9" i="5"/>
  <c r="J9" i="5"/>
  <c r="I9" i="5"/>
  <c r="N44" i="5" l="1"/>
  <c r="O44" i="5"/>
  <c r="M40" i="5"/>
  <c r="M42" i="5"/>
  <c r="N40" i="5"/>
  <c r="N42" i="5"/>
  <c r="L32" i="5"/>
  <c r="M32" i="5"/>
</calcChain>
</file>

<file path=xl/sharedStrings.xml><?xml version="1.0" encoding="utf-8"?>
<sst xmlns="http://schemas.openxmlformats.org/spreadsheetml/2006/main" count="127" uniqueCount="106">
  <si>
    <t>2008 г.</t>
  </si>
  <si>
    <t>2009 г.</t>
  </si>
  <si>
    <t>2010 г.</t>
  </si>
  <si>
    <t>2011 г.</t>
  </si>
  <si>
    <t>2012 г.</t>
  </si>
  <si>
    <t>2013 г.</t>
  </si>
  <si>
    <t xml:space="preserve">INDICATORS </t>
  </si>
  <si>
    <t>MACROECONOMIC</t>
  </si>
  <si>
    <t>SOCIAL</t>
  </si>
  <si>
    <t xml:space="preserve">  Index based on previous period (in %)</t>
  </si>
  <si>
    <t>Pension expenditure as a share of GDP (in %)</t>
  </si>
  <si>
    <t>INDICES</t>
  </si>
  <si>
    <t>RATIOS</t>
  </si>
  <si>
    <t>Average monthly salary (in BGN)</t>
  </si>
  <si>
    <t xml:space="preserve"> - в т.ч. Самоосигуряващи се</t>
  </si>
  <si>
    <t xml:space="preserve"> - в т.ч. Земеделски стопани</t>
  </si>
  <si>
    <t xml:space="preserve">  индекс, при база предходния период (в %)</t>
  </si>
  <si>
    <t xml:space="preserve">      индекс, при база предходния период (в %)</t>
  </si>
  <si>
    <t xml:space="preserve">     индекс, при база предходния период (в %)</t>
  </si>
  <si>
    <t>Разходи за пенсии като % от БВП (в %)</t>
  </si>
  <si>
    <t>Expenditure on pensions (thusands BGN)</t>
  </si>
  <si>
    <t>GDP (current prices, in millions BGN)</t>
  </si>
  <si>
    <t>Transfers and subsidies by the State Budget to the State Social Insurance’s budget (thousands BGN)</t>
  </si>
  <si>
    <t>State Social Insurance Expenditure (thousands BGN)</t>
  </si>
  <si>
    <t>Expenditure on cash benefits for pregnancy and childbirth (thousands BGN)</t>
  </si>
  <si>
    <t>Average monthly gross contributory income for the country (in BGN)</t>
  </si>
  <si>
    <t>State Social Insurance Expenditure as a share of GDP (in %)</t>
  </si>
  <si>
    <t>Нетен СОД</t>
  </si>
  <si>
    <t>Average contributory income (monthly in BGN)</t>
  </si>
  <si>
    <t>Revenue from social insurance contributions (thousands BGN)</t>
  </si>
  <si>
    <t>Unemployed entitled to cash benefits for unemployment (monthly average number)</t>
  </si>
  <si>
    <t>Insured persons (monthly average number)</t>
  </si>
  <si>
    <t>Number of pensioners (monthly average)</t>
  </si>
  <si>
    <t>Number of pensions (monthly average)</t>
  </si>
  <si>
    <t xml:space="preserve">Number of pensioners per 100 insured persons </t>
  </si>
  <si>
    <t xml:space="preserve">Осигурени лица в ДОО </t>
  </si>
  <si>
    <t>Разходи на ДОО като % от БВП (в %)</t>
  </si>
  <si>
    <t xml:space="preserve">Expenditure on unemployment benefits (thusands BGN) </t>
  </si>
  <si>
    <t>Expenditure on cash benefits due to general sickness, quarantine and accidents not related to employment  (thousands BGN)</t>
  </si>
  <si>
    <t>Unemployment rate  (administrative statistics)  (in %)</t>
  </si>
  <si>
    <t>Registered unemployed (administrative statistics)  (monthly average number)</t>
  </si>
  <si>
    <t>Разходи за парични обезщетения за временна неработоспособност  поради общо заболяване, гледане на болен член от семейството, карантина и нетрудови злополуки (хил.лв.)</t>
  </si>
  <si>
    <t>Хармонизиран индекс на потребителските цени</t>
  </si>
  <si>
    <t>Средногодишно  (в %)</t>
  </si>
  <si>
    <t>В края на годината (в %)</t>
  </si>
  <si>
    <t xml:space="preserve">Harmonised Index of Consumer Prices </t>
  </si>
  <si>
    <t>Average monthly pension (all types of pensions) (in BGN)</t>
  </si>
  <si>
    <t>Average monthly pension (all types of pensions) to the average monthly net contributory income for the country (in %)</t>
  </si>
  <si>
    <t>Average monthly pension (all types of pensions) to the average monthly gross contributory income for the country (in %)</t>
  </si>
  <si>
    <t>Average monthly old-age pension (in BGN)</t>
  </si>
  <si>
    <t>Statutory monthly minimum wage (in BGN)</t>
  </si>
  <si>
    <t xml:space="preserve">823 408,0 </t>
  </si>
  <si>
    <t xml:space="preserve">520 277,1 </t>
  </si>
  <si>
    <t xml:space="preserve">Забележка: </t>
  </si>
  <si>
    <t>Основни макроикономически показатели и показатели за Държавното обществено осигуряване</t>
  </si>
  <si>
    <t>Main Macroeconomic and State Social Insurance indicators</t>
  </si>
  <si>
    <t>*** От 1.07.2022 г. максималният размер на получаваните една или повече пенсии е 2 000 лв., а от 1.10.2022 г. - 3 400 лв.</t>
  </si>
  <si>
    <t xml:space="preserve">Note: </t>
  </si>
  <si>
    <t>Average monthly social  pension for old-age (non-contributory) (in BGN) (average for the period)*</t>
  </si>
  <si>
    <t>Average monthly minimum old-age pension (in BGN) **</t>
  </si>
  <si>
    <t>Average monthly maximum pension (in BGN)***</t>
  </si>
  <si>
    <t xml:space="preserve">Expenditure on cash benefits for raising a child up to 2 years of age  and for adoption of a child up to 5 years of age  (thousands BGN) </t>
  </si>
  <si>
    <t>*** As of 1.07.2022  the maximum amount of pensions is BGN 2000 and as of  1.10.2022 it is BGN 3400.</t>
  </si>
  <si>
    <t>* От 1.07.2023 г. социалната пенсия за старост е 276,64 лв.</t>
  </si>
  <si>
    <t>** От 1.07.2023 г. минималната пенсия за осигурителен стаж и възраст е 523,04 лв.</t>
  </si>
  <si>
    <t>БВП (млн. лв.)</t>
  </si>
  <si>
    <t>Средна работна заплата за страната (лв.)</t>
  </si>
  <si>
    <t>Регистрирани безработни лица (административна статистика) (средномесечен брой )</t>
  </si>
  <si>
    <t>Равнище на регистрирана безработица (административна статистика)  (в %)</t>
  </si>
  <si>
    <t>Регистрирани безработни лица с право на парични обезщетения за безработица  (средномесечен брой)</t>
  </si>
  <si>
    <t>Брой пенсионери /средномесечен/</t>
  </si>
  <si>
    <t>Брой пенсии  /средномесечен/</t>
  </si>
  <si>
    <t>Средномесечен осигурителен доход за страната (лв.)</t>
  </si>
  <si>
    <t>Приходи от осигурителни вноски (хил. лв.)</t>
  </si>
  <si>
    <t xml:space="preserve">Tрансфери от държавния/ централния бюджет за ДОО (хил.лв.) </t>
  </si>
  <si>
    <t>Разходи на ДОО (хил. лв.) в т.ч.</t>
  </si>
  <si>
    <t>Разходи за пенсии (хил. лв.)</t>
  </si>
  <si>
    <t xml:space="preserve">Разходи за парични обезщетения  за безработица (хил. лв.) </t>
  </si>
  <si>
    <t>Разходи за парични обезщетения за бременност и раждане (хил.лв.)</t>
  </si>
  <si>
    <t>Разходи за парични обезщетения за отглеждане на дете до 2-годишна възраст и за осиновяване на дете до 5-годишна възраст (в хил. лв.)</t>
  </si>
  <si>
    <t>Разходи за парични обезщетения за отглеждане на дете до 8-годишна възраст от бащата (осиновителя) (в сила от 1.08.2022 г.) (в хил. лв.)</t>
  </si>
  <si>
    <t xml:space="preserve"> Средна пенсия на пенсионер (лв.)</t>
  </si>
  <si>
    <t xml:space="preserve"> Средна пенсия за осигурителен стаж и възраст (лв.)</t>
  </si>
  <si>
    <t>Социална пенсия за старост (лв.)(средно за периода)*</t>
  </si>
  <si>
    <t>Минимален размер на пенсията за осигурителен стаж и възраст по чл. 68, ал. 1 от КСО (лв.)(средно за периода)**</t>
  </si>
  <si>
    <t>Максимален размер на получаваните една или повече пенсии (лв.)(средно за периода)***</t>
  </si>
  <si>
    <t>Минимална работна заплата (лв.)(средно за периода)</t>
  </si>
  <si>
    <t xml:space="preserve">Брой пенсионери на 100 осигурени лица  </t>
  </si>
  <si>
    <t xml:space="preserve"> Средна пенсия на пенсионер към средномесечен  осигурителен доход за страната  (в %)</t>
  </si>
  <si>
    <t xml:space="preserve"> Средна пенсия на пенсионер към средномесечен "нетен" осигурителен доход за страната  (в %)</t>
  </si>
  <si>
    <t xml:space="preserve">  Показатели</t>
  </si>
  <si>
    <t xml:space="preserve">  Макроикономически</t>
  </si>
  <si>
    <t xml:space="preserve">  Социални</t>
  </si>
  <si>
    <r>
      <t xml:space="preserve">Expenses on cash benefits for raising a child up to 8 years of age by the father (adoptive parent) (in force as from 01.08.2022) 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(thousands BGN) </t>
    </r>
  </si>
  <si>
    <t>* As of 1.07.2023  the amount of social pension for old age is BGN 276,64.</t>
  </si>
  <si>
    <t>** As of 1.07.2023  the minimum amount of old age pension is BGN 523,04.</t>
  </si>
  <si>
    <t>Максимелен размер на осигурителния доход (лв.) (средно за периода)</t>
  </si>
  <si>
    <t>Maximum gross contributory income for the country (in BGN) (average for the period)</t>
  </si>
  <si>
    <t>Аt the end of the year ( in %)</t>
  </si>
  <si>
    <t>Annual average HICP  ( in %)</t>
  </si>
  <si>
    <t>including farmers</t>
  </si>
  <si>
    <t>including self-insured</t>
  </si>
  <si>
    <r>
      <rPr>
        <b/>
        <i/>
        <sz val="10"/>
        <rFont val="Arial"/>
        <family val="2"/>
        <charset val="204"/>
      </rPr>
      <t>Източник</t>
    </r>
    <r>
      <rPr>
        <b/>
        <sz val="10"/>
        <rFont val="Arial"/>
        <family val="2"/>
        <charset val="204"/>
      </rPr>
      <t xml:space="preserve">: НСИ, АЗ, НОИ   </t>
    </r>
  </si>
  <si>
    <t>Съотношения</t>
  </si>
  <si>
    <t xml:space="preserve"> Индекси</t>
  </si>
  <si>
    <r>
      <rPr>
        <b/>
        <i/>
        <sz val="10"/>
        <rFont val="Arial CYR"/>
        <charset val="204"/>
      </rPr>
      <t>Sources</t>
    </r>
    <r>
      <rPr>
        <b/>
        <sz val="10"/>
        <rFont val="Arial CYR"/>
        <charset val="204"/>
      </rPr>
      <t xml:space="preserve">: NSSI, NSI, NEA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</si>
</sst>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лв&quot;;\-#,##0\ &quot;лв&quot;"/>
    <numFmt numFmtId="165" formatCode="#,##0.0"/>
    <numFmt numFmtId="166" formatCode="0.0%"/>
    <numFmt numFmtId="167" formatCode="0.0"/>
    <numFmt numFmtId="168" formatCode="00"/>
    <numFmt numFmtId="169" formatCode="00.00"/>
  </numFmts>
  <fonts count="13">
    <font>
      <sz val="10"/>
      <name val="Arial"/>
      <charset val="204"/>
    </font>
    <font>
      <sz val="12"/>
      <name val="Modern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"/>
      <family val="2"/>
      <charset val="204"/>
    </font>
    <font>
      <sz val="10"/>
      <name val="Hebar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3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1" fillId="0" borderId="0" applyFill="0" applyBorder="0" applyAlignment="0" applyProtection="0"/>
    <xf numFmtId="0" fontId="1" fillId="0" borderId="1" applyNumberFormat="0" applyFill="0" applyAlignment="0" applyProtection="0"/>
    <xf numFmtId="168" fontId="8" fillId="0" borderId="0"/>
  </cellStyleXfs>
  <cellXfs count="86">
    <xf numFmtId="0" fontId="0" fillId="0" borderId="0" xfId="0"/>
    <xf numFmtId="0" fontId="4" fillId="0" borderId="0" xfId="0" applyFont="1" applyFill="1"/>
    <xf numFmtId="0" fontId="4" fillId="0" borderId="0" xfId="7" applyFont="1" applyFill="1"/>
    <xf numFmtId="0" fontId="4" fillId="0" borderId="0" xfId="0" applyFont="1" applyFill="1" applyAlignment="1"/>
    <xf numFmtId="0" fontId="4" fillId="0" borderId="0" xfId="7" applyFont="1" applyFill="1" applyAlignment="1"/>
    <xf numFmtId="0" fontId="4" fillId="0" borderId="0" xfId="0" applyFont="1" applyFill="1" applyBorder="1"/>
    <xf numFmtId="0" fontId="10" fillId="0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7" applyFont="1" applyFill="1" applyBorder="1"/>
    <xf numFmtId="0" fontId="4" fillId="0" borderId="0" xfId="7" applyFont="1" applyFill="1" applyBorder="1" applyAlignment="1">
      <alignment horizontal="right"/>
    </xf>
    <xf numFmtId="10" fontId="4" fillId="0" borderId="0" xfId="8" applyFont="1" applyFill="1"/>
    <xf numFmtId="10" fontId="4" fillId="0" borderId="0" xfId="8" applyFont="1" applyFill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3" xfId="7" applyFont="1" applyFill="1" applyBorder="1" applyAlignment="1">
      <alignment horizontal="center" wrapText="1"/>
    </xf>
    <xf numFmtId="0" fontId="4" fillId="2" borderId="3" xfId="7" applyFont="1" applyFill="1" applyBorder="1" applyAlignment="1">
      <alignment horizontal="right"/>
    </xf>
    <xf numFmtId="0" fontId="4" fillId="2" borderId="3" xfId="0" applyFont="1" applyFill="1" applyBorder="1"/>
    <xf numFmtId="166" fontId="10" fillId="2" borderId="3" xfId="8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/>
    </xf>
    <xf numFmtId="2" fontId="4" fillId="3" borderId="3" xfId="7" applyNumberFormat="1" applyFont="1" applyFill="1" applyBorder="1" applyAlignment="1">
      <alignment horizontal="center"/>
    </xf>
    <xf numFmtId="1" fontId="4" fillId="3" borderId="3" xfId="7" applyNumberFormat="1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2" fontId="4" fillId="0" borderId="4" xfId="7" applyNumberFormat="1" applyFont="1" applyFill="1" applyBorder="1" applyAlignment="1">
      <alignment horizontal="left" wrapText="1"/>
    </xf>
    <xf numFmtId="3" fontId="4" fillId="0" borderId="4" xfId="7" applyNumberFormat="1" applyFont="1" applyFill="1" applyBorder="1" applyAlignment="1">
      <alignment horizontal="right"/>
    </xf>
    <xf numFmtId="3" fontId="4" fillId="0" borderId="4" xfId="0" applyNumberFormat="1" applyFont="1" applyFill="1" applyBorder="1"/>
    <xf numFmtId="0" fontId="4" fillId="0" borderId="5" xfId="0" applyFont="1" applyFill="1" applyBorder="1" applyAlignment="1">
      <alignment horizontal="center"/>
    </xf>
    <xf numFmtId="10" fontId="4" fillId="0" borderId="5" xfId="7" applyNumberFormat="1" applyFont="1" applyFill="1" applyBorder="1" applyAlignment="1">
      <alignment horizontal="left" wrapText="1"/>
    </xf>
    <xf numFmtId="0" fontId="4" fillId="0" borderId="5" xfId="7" applyFont="1" applyFill="1" applyBorder="1" applyAlignment="1">
      <alignment horizontal="right"/>
    </xf>
    <xf numFmtId="0" fontId="4" fillId="0" borderId="5" xfId="0" applyFont="1" applyFill="1" applyBorder="1"/>
    <xf numFmtId="167" fontId="4" fillId="0" borderId="5" xfId="7" applyNumberFormat="1" applyFont="1" applyFill="1" applyBorder="1" applyAlignment="1">
      <alignment horizontal="right"/>
    </xf>
    <xf numFmtId="167" fontId="4" fillId="0" borderId="5" xfId="0" applyNumberFormat="1" applyFont="1" applyFill="1" applyBorder="1" applyAlignment="1">
      <alignment horizontal="right"/>
    </xf>
    <xf numFmtId="167" fontId="4" fillId="0" borderId="5" xfId="0" applyNumberFormat="1" applyFont="1" applyFill="1" applyBorder="1"/>
    <xf numFmtId="1" fontId="4" fillId="0" borderId="5" xfId="7" applyNumberFormat="1" applyFont="1" applyFill="1" applyBorder="1" applyAlignment="1">
      <alignment horizontal="left" wrapText="1"/>
    </xf>
    <xf numFmtId="1" fontId="4" fillId="0" borderId="5" xfId="7" applyNumberFormat="1" applyFont="1" applyFill="1" applyBorder="1" applyAlignment="1">
      <alignment horizontal="right"/>
    </xf>
    <xf numFmtId="1" fontId="4" fillId="0" borderId="5" xfId="0" applyNumberFormat="1" applyFont="1" applyFill="1" applyBorder="1"/>
    <xf numFmtId="3" fontId="4" fillId="0" borderId="5" xfId="7" applyNumberFormat="1" applyFont="1" applyFill="1" applyBorder="1" applyAlignment="1">
      <alignment horizontal="right"/>
    </xf>
    <xf numFmtId="4" fontId="4" fillId="0" borderId="5" xfId="7" applyNumberFormat="1" applyFont="1" applyFill="1" applyBorder="1" applyAlignment="1">
      <alignment horizontal="right"/>
    </xf>
    <xf numFmtId="165" fontId="4" fillId="0" borderId="5" xfId="7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0" fontId="4" fillId="0" borderId="2" xfId="7" applyNumberFormat="1" applyFont="1" applyFill="1" applyBorder="1" applyAlignment="1">
      <alignment horizontal="left" wrapText="1" shrinkToFit="1"/>
    </xf>
    <xf numFmtId="3" fontId="4" fillId="0" borderId="2" xfId="7" applyNumberFormat="1" applyFont="1" applyFill="1" applyBorder="1" applyAlignment="1">
      <alignment horizontal="right"/>
    </xf>
    <xf numFmtId="10" fontId="4" fillId="0" borderId="4" xfId="7" applyNumberFormat="1" applyFont="1" applyFill="1" applyBorder="1" applyAlignment="1">
      <alignment horizontal="left" wrapText="1"/>
    </xf>
    <xf numFmtId="3" fontId="4" fillId="0" borderId="5" xfId="0" applyNumberFormat="1" applyFont="1" applyFill="1" applyBorder="1"/>
    <xf numFmtId="2" fontId="4" fillId="0" borderId="5" xfId="0" applyNumberFormat="1" applyFont="1" applyFill="1" applyBorder="1"/>
    <xf numFmtId="4" fontId="4" fillId="0" borderId="5" xfId="0" applyNumberFormat="1" applyFont="1" applyFill="1" applyBorder="1"/>
    <xf numFmtId="169" fontId="4" fillId="0" borderId="5" xfId="10" applyNumberFormat="1" applyFont="1" applyFill="1" applyBorder="1"/>
    <xf numFmtId="10" fontId="4" fillId="0" borderId="5" xfId="7" applyNumberFormat="1" applyFont="1" applyFill="1" applyBorder="1" applyAlignment="1">
      <alignment horizontal="left" wrapText="1" shrinkToFit="1"/>
    </xf>
    <xf numFmtId="10" fontId="4" fillId="0" borderId="2" xfId="7" applyNumberFormat="1" applyFont="1" applyFill="1" applyBorder="1" applyAlignment="1">
      <alignment horizontal="left" wrapText="1"/>
    </xf>
    <xf numFmtId="165" fontId="4" fillId="0" borderId="2" xfId="7" applyNumberFormat="1" applyFont="1" applyFill="1" applyBorder="1" applyAlignment="1">
      <alignment horizontal="right"/>
    </xf>
    <xf numFmtId="1" fontId="4" fillId="0" borderId="4" xfId="7" applyNumberFormat="1" applyFont="1" applyFill="1" applyBorder="1" applyAlignment="1">
      <alignment horizontal="left" wrapText="1"/>
    </xf>
    <xf numFmtId="4" fontId="4" fillId="0" borderId="4" xfId="7" applyNumberFormat="1" applyFont="1" applyFill="1" applyBorder="1" applyAlignment="1">
      <alignment horizontal="right"/>
    </xf>
    <xf numFmtId="2" fontId="4" fillId="0" borderId="4" xfId="7" applyNumberFormat="1" applyFont="1" applyFill="1" applyBorder="1" applyAlignment="1">
      <alignment horizontal="right"/>
    </xf>
    <xf numFmtId="2" fontId="4" fillId="0" borderId="4" xfId="0" applyNumberFormat="1" applyFont="1" applyFill="1" applyBorder="1"/>
    <xf numFmtId="4" fontId="4" fillId="0" borderId="4" xfId="0" applyNumberFormat="1" applyFont="1" applyFill="1" applyBorder="1"/>
    <xf numFmtId="10" fontId="4" fillId="0" borderId="5" xfId="7" applyNumberFormat="1" applyFont="1" applyFill="1" applyBorder="1" applyAlignment="1">
      <alignment horizontal="right"/>
    </xf>
    <xf numFmtId="2" fontId="4" fillId="0" borderId="5" xfId="7" applyNumberFormat="1" applyFont="1" applyFill="1" applyBorder="1" applyAlignment="1">
      <alignment horizontal="right"/>
    </xf>
    <xf numFmtId="2" fontId="4" fillId="0" borderId="5" xfId="7" applyNumberFormat="1" applyFont="1" applyFill="1" applyBorder="1" applyAlignment="1">
      <alignment horizontal="left" wrapText="1"/>
    </xf>
    <xf numFmtId="2" fontId="4" fillId="0" borderId="2" xfId="7" applyNumberFormat="1" applyFont="1" applyFill="1" applyBorder="1" applyAlignment="1">
      <alignment horizontal="right"/>
    </xf>
    <xf numFmtId="167" fontId="4" fillId="0" borderId="2" xfId="7" applyNumberFormat="1" applyFont="1" applyFill="1" applyBorder="1" applyAlignment="1">
      <alignment horizontal="right"/>
    </xf>
    <xf numFmtId="0" fontId="4" fillId="0" borderId="4" xfId="7" applyFont="1" applyFill="1" applyBorder="1" applyAlignment="1">
      <alignment horizontal="left" wrapText="1"/>
    </xf>
    <xf numFmtId="167" fontId="4" fillId="0" borderId="4" xfId="7" applyNumberFormat="1" applyFont="1" applyFill="1" applyBorder="1" applyAlignment="1">
      <alignment horizontal="right"/>
    </xf>
    <xf numFmtId="167" fontId="4" fillId="0" borderId="4" xfId="0" applyNumberFormat="1" applyFont="1" applyFill="1" applyBorder="1"/>
    <xf numFmtId="0" fontId="4" fillId="0" borderId="5" xfId="7" applyFont="1" applyFill="1" applyBorder="1" applyAlignment="1">
      <alignment horizontal="left" wrapText="1"/>
    </xf>
    <xf numFmtId="0" fontId="4" fillId="0" borderId="5" xfId="7" applyNumberFormat="1" applyFont="1" applyFill="1" applyBorder="1" applyAlignment="1">
      <alignment horizontal="left" vertical="center" wrapText="1"/>
    </xf>
    <xf numFmtId="167" fontId="4" fillId="0" borderId="5" xfId="8" applyNumberFormat="1" applyFont="1" applyFill="1" applyBorder="1" applyAlignment="1">
      <alignment horizontal="right"/>
    </xf>
    <xf numFmtId="2" fontId="4" fillId="0" borderId="5" xfId="8" applyNumberFormat="1" applyFont="1" applyFill="1" applyBorder="1" applyAlignment="1">
      <alignment horizontal="right"/>
    </xf>
    <xf numFmtId="0" fontId="4" fillId="0" borderId="2" xfId="7" applyNumberFormat="1" applyFont="1" applyFill="1" applyBorder="1" applyAlignment="1">
      <alignment horizontal="left" vertical="center" wrapText="1"/>
    </xf>
    <xf numFmtId="2" fontId="4" fillId="0" borderId="2" xfId="8" applyNumberFormat="1" applyFont="1" applyFill="1" applyBorder="1" applyAlignment="1">
      <alignment horizontal="right"/>
    </xf>
    <xf numFmtId="167" fontId="4" fillId="0" borderId="2" xfId="8" applyNumberFormat="1" applyFont="1" applyFill="1" applyBorder="1" applyAlignment="1">
      <alignment horizontal="right"/>
    </xf>
    <xf numFmtId="165" fontId="4" fillId="0" borderId="5" xfId="0" applyNumberFormat="1" applyFont="1" applyBorder="1"/>
    <xf numFmtId="2" fontId="4" fillId="2" borderId="3" xfId="7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5" xfId="7" applyNumberFormat="1" applyFont="1" applyFill="1" applyBorder="1" applyAlignment="1">
      <alignment horizontal="left" wrapText="1" indent="1"/>
    </xf>
    <xf numFmtId="0" fontId="4" fillId="0" borderId="5" xfId="0" applyFont="1" applyFill="1" applyBorder="1" applyAlignment="1">
      <alignment horizontal="left" wrapText="1" indent="2"/>
    </xf>
    <xf numFmtId="10" fontId="4" fillId="0" borderId="5" xfId="7" applyNumberFormat="1" applyFont="1" applyFill="1" applyBorder="1" applyAlignment="1">
      <alignment horizontal="left" wrapText="1" indent="2"/>
    </xf>
    <xf numFmtId="10" fontId="4" fillId="0" borderId="2" xfId="7" applyNumberFormat="1" applyFont="1" applyFill="1" applyBorder="1" applyAlignment="1">
      <alignment horizontal="left" wrapText="1" indent="1"/>
    </xf>
    <xf numFmtId="0" fontId="4" fillId="0" borderId="0" xfId="0" applyFont="1" applyFill="1" applyAlignment="1">
      <alignment horizontal="center"/>
    </xf>
    <xf numFmtId="0" fontId="9" fillId="0" borderId="0" xfId="7" applyNumberFormat="1" applyFont="1" applyFill="1" applyAlignment="1">
      <alignment horizontal="left" vertical="center" wrapText="1"/>
    </xf>
    <xf numFmtId="0" fontId="12" fillId="0" borderId="0" xfId="7" applyFont="1" applyFill="1" applyAlignment="1">
      <alignment wrapText="1"/>
    </xf>
    <xf numFmtId="0" fontId="5" fillId="0" borderId="0" xfId="7" applyNumberFormat="1" applyFont="1" applyFill="1" applyAlignment="1">
      <alignment horizontal="left" vertical="center" wrapText="1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NSSIBU~1" xfId="10" xr:uid="{CFA9B2D4-5C42-4E55-9574-29EC214B49F7}"/>
    <cellStyle name="normal_Показатели - на 2 страници-ново" xfId="7" xr:uid="{00000000-0005-0000-0000-000007000000}"/>
    <cellStyle name="Percent" xfId="8" builtinId="5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R57"/>
  <sheetViews>
    <sheetView topLeftCell="A25" zoomScaleNormal="100" workbookViewId="0">
      <selection activeCell="B31" sqref="B31"/>
    </sheetView>
  </sheetViews>
  <sheetFormatPr defaultColWidth="12.5703125" defaultRowHeight="12.75"/>
  <cols>
    <col min="1" max="1" width="4.140625" style="8" customWidth="1"/>
    <col min="2" max="2" width="50.140625" style="2" customWidth="1"/>
    <col min="3" max="3" width="13.28515625" style="9" customWidth="1"/>
    <col min="4" max="4" width="12.28515625" style="10" customWidth="1"/>
    <col min="5" max="5" width="13.7109375" style="10" customWidth="1"/>
    <col min="6" max="6" width="10.7109375" style="1" bestFit="1" customWidth="1"/>
    <col min="7" max="8" width="10.7109375" style="1" customWidth="1"/>
    <col min="9" max="10" width="10.7109375" style="1" bestFit="1" customWidth="1"/>
    <col min="11" max="11" width="11.7109375" style="1" bestFit="1" customWidth="1"/>
    <col min="12" max="14" width="11.7109375" style="2" bestFit="1" customWidth="1"/>
    <col min="15" max="16" width="11.7109375" style="1" bestFit="1" customWidth="1"/>
    <col min="17" max="18" width="11.7109375" style="1" customWidth="1"/>
    <col min="19" max="16384" width="12.5703125" style="1"/>
  </cols>
  <sheetData>
    <row r="1" spans="1:18" ht="18" customHeight="1">
      <c r="B1" s="82" t="s">
        <v>54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8" customHeight="1">
      <c r="G2" s="3"/>
      <c r="H2" s="3"/>
      <c r="I2" s="3"/>
      <c r="J2" s="3"/>
      <c r="K2" s="3"/>
      <c r="L2" s="4"/>
      <c r="M2" s="4"/>
    </row>
    <row r="3" spans="1:18" s="5" customFormat="1" ht="34.5" customHeight="1">
      <c r="A3" s="18"/>
      <c r="B3" s="19" t="s">
        <v>90</v>
      </c>
      <c r="C3" s="20" t="s">
        <v>0</v>
      </c>
      <c r="D3" s="20" t="s">
        <v>1</v>
      </c>
      <c r="E3" s="20" t="s">
        <v>2</v>
      </c>
      <c r="F3" s="20" t="s">
        <v>3</v>
      </c>
      <c r="G3" s="21" t="s">
        <v>4</v>
      </c>
      <c r="H3" s="21" t="s">
        <v>5</v>
      </c>
      <c r="I3" s="21">
        <v>2014</v>
      </c>
      <c r="J3" s="21">
        <v>2015</v>
      </c>
      <c r="K3" s="21">
        <v>2016</v>
      </c>
      <c r="L3" s="21">
        <v>2017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</row>
    <row r="4" spans="1:18" ht="27.75" customHeight="1">
      <c r="A4" s="13"/>
      <c r="B4" s="14" t="s">
        <v>91</v>
      </c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5" customFormat="1" ht="18" customHeight="1">
      <c r="A5" s="22">
        <v>1</v>
      </c>
      <c r="B5" s="23" t="s">
        <v>65</v>
      </c>
      <c r="C5" s="24">
        <v>72847</v>
      </c>
      <c r="D5" s="24">
        <v>73181</v>
      </c>
      <c r="E5" s="24">
        <v>74888</v>
      </c>
      <c r="F5" s="24">
        <v>81126</v>
      </c>
      <c r="G5" s="25">
        <v>82643</v>
      </c>
      <c r="H5" s="25">
        <v>82253</v>
      </c>
      <c r="I5" s="25">
        <v>84148</v>
      </c>
      <c r="J5" s="25">
        <v>89571</v>
      </c>
      <c r="K5" s="25">
        <v>95349</v>
      </c>
      <c r="L5" s="25">
        <v>102683</v>
      </c>
      <c r="M5" s="25">
        <v>109916</v>
      </c>
      <c r="N5" s="25">
        <v>120342.01300000001</v>
      </c>
      <c r="O5" s="25">
        <v>120492.425</v>
      </c>
      <c r="P5" s="25">
        <v>138979.41699999999</v>
      </c>
      <c r="Q5" s="25">
        <v>167808.976</v>
      </c>
      <c r="R5" s="25">
        <v>183743.44500000001</v>
      </c>
    </row>
    <row r="6" spans="1:18" s="5" customFormat="1" ht="18" customHeight="1">
      <c r="A6" s="26">
        <v>2</v>
      </c>
      <c r="B6" s="27" t="s">
        <v>42</v>
      </c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5" customHeight="1">
      <c r="A7" s="26"/>
      <c r="B7" s="79" t="s">
        <v>43</v>
      </c>
      <c r="C7" s="30">
        <v>12</v>
      </c>
      <c r="D7" s="31">
        <v>2.5</v>
      </c>
      <c r="E7" s="31">
        <v>3</v>
      </c>
      <c r="F7" s="31">
        <v>3.4</v>
      </c>
      <c r="G7" s="29">
        <v>2.4</v>
      </c>
      <c r="H7" s="29">
        <v>0.4</v>
      </c>
      <c r="I7" s="29">
        <v>-1.6</v>
      </c>
      <c r="J7" s="29">
        <v>-1.1000000000000001</v>
      </c>
      <c r="K7" s="29">
        <v>-1.3</v>
      </c>
      <c r="L7" s="29">
        <v>1.2</v>
      </c>
      <c r="M7" s="29">
        <v>2.6</v>
      </c>
      <c r="N7" s="29">
        <v>2.5</v>
      </c>
      <c r="O7" s="29">
        <v>1.2</v>
      </c>
      <c r="P7" s="29">
        <v>2.8</v>
      </c>
      <c r="Q7" s="32">
        <v>13</v>
      </c>
      <c r="R7" s="32">
        <v>8.6</v>
      </c>
    </row>
    <row r="8" spans="1:18" ht="15" customHeight="1">
      <c r="A8" s="26"/>
      <c r="B8" s="80" t="s">
        <v>44</v>
      </c>
      <c r="C8" s="31">
        <v>7.2</v>
      </c>
      <c r="D8" s="31">
        <v>1.6</v>
      </c>
      <c r="E8" s="31">
        <v>4.4000000000000004</v>
      </c>
      <c r="F8" s="31">
        <v>2</v>
      </c>
      <c r="G8" s="31">
        <v>2.8</v>
      </c>
      <c r="H8" s="31">
        <v>-0.9</v>
      </c>
      <c r="I8" s="31">
        <v>-2</v>
      </c>
      <c r="J8" s="31">
        <v>-0.9</v>
      </c>
      <c r="K8" s="31">
        <v>-0.5</v>
      </c>
      <c r="L8" s="31">
        <v>1.8</v>
      </c>
      <c r="M8" s="31">
        <v>2.2999999999999998</v>
      </c>
      <c r="N8" s="31">
        <v>3.1</v>
      </c>
      <c r="O8" s="31">
        <v>0</v>
      </c>
      <c r="P8" s="31">
        <v>6.6</v>
      </c>
      <c r="Q8" s="31">
        <v>14.3</v>
      </c>
      <c r="R8" s="31">
        <v>5</v>
      </c>
    </row>
    <row r="9" spans="1:18" ht="18" customHeight="1">
      <c r="A9" s="26">
        <v>3</v>
      </c>
      <c r="B9" s="33" t="s">
        <v>66</v>
      </c>
      <c r="C9" s="34">
        <v>544.83333333333337</v>
      </c>
      <c r="D9" s="34">
        <f>7309/12</f>
        <v>609.08333333333337</v>
      </c>
      <c r="E9" s="34">
        <v>648.08333333333337</v>
      </c>
      <c r="F9" s="34">
        <v>685.83333333333337</v>
      </c>
      <c r="G9" s="35">
        <v>731.08333333333337</v>
      </c>
      <c r="H9" s="36">
        <v>775.08333333333337</v>
      </c>
      <c r="I9" s="36">
        <f>9860/12</f>
        <v>821.66666666666663</v>
      </c>
      <c r="J9" s="36">
        <f>10535/12</f>
        <v>877.91666666666663</v>
      </c>
      <c r="K9" s="36">
        <f>11379/12</f>
        <v>948.25</v>
      </c>
      <c r="L9" s="36">
        <v>1037.3333333333333</v>
      </c>
      <c r="M9" s="36">
        <v>1146.25</v>
      </c>
      <c r="N9" s="36">
        <v>1267.4166666666667</v>
      </c>
      <c r="O9" s="36">
        <v>1390.5833333333333</v>
      </c>
      <c r="P9" s="36">
        <f>18733/12</f>
        <v>1561.0833333333333</v>
      </c>
      <c r="Q9" s="36">
        <f>21242/12</f>
        <v>1770.1666666666667</v>
      </c>
      <c r="R9" s="36">
        <f>24147/12</f>
        <v>2012.25</v>
      </c>
    </row>
    <row r="10" spans="1:18" ht="30" customHeight="1">
      <c r="A10" s="26">
        <v>4</v>
      </c>
      <c r="B10" s="27" t="s">
        <v>67</v>
      </c>
      <c r="C10" s="36">
        <v>233718.5</v>
      </c>
      <c r="D10" s="36">
        <v>280980</v>
      </c>
      <c r="E10" s="36">
        <v>350944</v>
      </c>
      <c r="F10" s="36">
        <v>332600.5</v>
      </c>
      <c r="G10" s="36">
        <v>364537.25</v>
      </c>
      <c r="H10" s="36">
        <v>371379.66666666669</v>
      </c>
      <c r="I10" s="36">
        <v>366471</v>
      </c>
      <c r="J10" s="36">
        <v>330816</v>
      </c>
      <c r="K10" s="36">
        <v>284707</v>
      </c>
      <c r="L10" s="36">
        <v>236752</v>
      </c>
      <c r="M10" s="36">
        <v>202994</v>
      </c>
      <c r="N10" s="36">
        <v>185266</v>
      </c>
      <c r="O10" s="36">
        <v>233160</v>
      </c>
      <c r="P10" s="36">
        <v>181486</v>
      </c>
      <c r="Q10" s="36">
        <v>147804</v>
      </c>
      <c r="R10" s="36">
        <v>151497</v>
      </c>
    </row>
    <row r="11" spans="1:18" ht="30" customHeight="1">
      <c r="A11" s="26">
        <v>5</v>
      </c>
      <c r="B11" s="27" t="s">
        <v>68</v>
      </c>
      <c r="C11" s="37">
        <v>6.31</v>
      </c>
      <c r="D11" s="37">
        <v>7.59</v>
      </c>
      <c r="E11" s="38">
        <v>9.4700000000000006</v>
      </c>
      <c r="F11" s="38">
        <v>10.1</v>
      </c>
      <c r="G11" s="38">
        <v>11.1</v>
      </c>
      <c r="H11" s="38">
        <v>11.3</v>
      </c>
      <c r="I11" s="38">
        <v>11.2</v>
      </c>
      <c r="J11" s="38">
        <v>10.1</v>
      </c>
      <c r="K11" s="38">
        <v>8.6999999999999993</v>
      </c>
      <c r="L11" s="38">
        <v>7.2</v>
      </c>
      <c r="M11" s="38">
        <v>6.2</v>
      </c>
      <c r="N11" s="38">
        <v>5.6</v>
      </c>
      <c r="O11" s="38">
        <v>7.4</v>
      </c>
      <c r="P11" s="38">
        <v>5.5</v>
      </c>
      <c r="Q11" s="38">
        <v>5.2</v>
      </c>
      <c r="R11" s="38">
        <v>5.3</v>
      </c>
    </row>
    <row r="12" spans="1:18" s="6" customFormat="1" ht="30" customHeight="1">
      <c r="A12" s="39">
        <v>6</v>
      </c>
      <c r="B12" s="40" t="s">
        <v>69</v>
      </c>
      <c r="C12" s="41">
        <v>67473</v>
      </c>
      <c r="D12" s="41">
        <v>121034</v>
      </c>
      <c r="E12" s="41">
        <v>131500</v>
      </c>
      <c r="F12" s="41">
        <v>106698</v>
      </c>
      <c r="G12" s="41">
        <v>117688</v>
      </c>
      <c r="H12" s="41">
        <v>116804</v>
      </c>
      <c r="I12" s="41">
        <v>107312</v>
      </c>
      <c r="J12" s="41">
        <v>92249</v>
      </c>
      <c r="K12" s="41">
        <v>91979</v>
      </c>
      <c r="L12" s="41">
        <v>82684</v>
      </c>
      <c r="M12" s="41">
        <v>76535.166666666672</v>
      </c>
      <c r="N12" s="41">
        <v>69845.166666666672</v>
      </c>
      <c r="O12" s="41">
        <v>109019</v>
      </c>
      <c r="P12" s="41">
        <v>82774</v>
      </c>
      <c r="Q12" s="41">
        <v>65010</v>
      </c>
      <c r="R12" s="41">
        <v>66123</v>
      </c>
    </row>
    <row r="13" spans="1:18" ht="27.75" customHeight="1">
      <c r="A13" s="13"/>
      <c r="B13" s="14" t="s">
        <v>92</v>
      </c>
      <c r="C13" s="15"/>
      <c r="D13" s="15"/>
      <c r="E13" s="15"/>
      <c r="F13" s="71"/>
      <c r="G13" s="71"/>
      <c r="H13" s="71"/>
      <c r="I13" s="71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8" customHeight="1">
      <c r="A14" s="22">
        <v>7</v>
      </c>
      <c r="B14" s="42" t="s">
        <v>35</v>
      </c>
      <c r="C14" s="24">
        <v>2851226</v>
      </c>
      <c r="D14" s="24">
        <v>2829819</v>
      </c>
      <c r="E14" s="24">
        <v>2831479</v>
      </c>
      <c r="F14" s="24">
        <v>2883085</v>
      </c>
      <c r="G14" s="24">
        <v>2770030</v>
      </c>
      <c r="H14" s="24">
        <v>2729800</v>
      </c>
      <c r="I14" s="24">
        <v>2735101</v>
      </c>
      <c r="J14" s="24">
        <v>2755906</v>
      </c>
      <c r="K14" s="24">
        <v>2765138</v>
      </c>
      <c r="L14" s="24">
        <v>2779820</v>
      </c>
      <c r="M14" s="24">
        <v>2790182</v>
      </c>
      <c r="N14" s="24">
        <v>2794029</v>
      </c>
      <c r="O14" s="24">
        <v>2693720</v>
      </c>
      <c r="P14" s="24">
        <v>2747495</v>
      </c>
      <c r="Q14" s="24">
        <v>2794249</v>
      </c>
      <c r="R14" s="24">
        <v>2807438</v>
      </c>
    </row>
    <row r="15" spans="1:18" ht="18" customHeight="1">
      <c r="A15" s="26"/>
      <c r="B15" s="78" t="s">
        <v>14</v>
      </c>
      <c r="C15" s="36">
        <v>260305</v>
      </c>
      <c r="D15" s="36">
        <v>186115</v>
      </c>
      <c r="E15" s="36">
        <v>186115</v>
      </c>
      <c r="F15" s="36">
        <v>183109</v>
      </c>
      <c r="G15" s="36">
        <v>206264</v>
      </c>
      <c r="H15" s="36">
        <v>198656</v>
      </c>
      <c r="I15" s="36">
        <v>200276</v>
      </c>
      <c r="J15" s="36">
        <v>207464</v>
      </c>
      <c r="K15" s="36">
        <v>212233</v>
      </c>
      <c r="L15" s="36">
        <v>204987</v>
      </c>
      <c r="M15" s="36">
        <v>207874</v>
      </c>
      <c r="N15" s="36">
        <v>215642</v>
      </c>
      <c r="O15" s="36">
        <v>206016</v>
      </c>
      <c r="P15" s="36">
        <v>213300</v>
      </c>
      <c r="Q15" s="36">
        <v>219758</v>
      </c>
      <c r="R15" s="36">
        <v>221948</v>
      </c>
    </row>
    <row r="16" spans="1:18" ht="18" customHeight="1">
      <c r="A16" s="26"/>
      <c r="B16" s="78" t="s">
        <v>15</v>
      </c>
      <c r="C16" s="36">
        <v>43902</v>
      </c>
      <c r="D16" s="36">
        <v>35850</v>
      </c>
      <c r="E16" s="36">
        <v>35850</v>
      </c>
      <c r="F16" s="36">
        <v>32100</v>
      </c>
      <c r="G16" s="36">
        <v>30496</v>
      </c>
      <c r="H16" s="36">
        <v>33575</v>
      </c>
      <c r="I16" s="36">
        <v>33017</v>
      </c>
      <c r="J16" s="36">
        <v>34315</v>
      </c>
      <c r="K16" s="36">
        <v>37701</v>
      </c>
      <c r="L16" s="36">
        <v>46016</v>
      </c>
      <c r="M16" s="36">
        <v>44073</v>
      </c>
      <c r="N16" s="36">
        <v>30776</v>
      </c>
      <c r="O16" s="36">
        <v>27287</v>
      </c>
      <c r="P16" s="36">
        <v>26711</v>
      </c>
      <c r="Q16" s="36">
        <v>26657</v>
      </c>
      <c r="R16" s="36">
        <v>23877</v>
      </c>
    </row>
    <row r="17" spans="1:18" ht="18" customHeight="1">
      <c r="A17" s="26">
        <v>8</v>
      </c>
      <c r="B17" s="27" t="s">
        <v>70</v>
      </c>
      <c r="C17" s="36">
        <v>2214880.3333333335</v>
      </c>
      <c r="D17" s="36">
        <v>2192524</v>
      </c>
      <c r="E17" s="36">
        <v>2191946</v>
      </c>
      <c r="F17" s="36">
        <v>2199585</v>
      </c>
      <c r="G17" s="43">
        <v>2217642</v>
      </c>
      <c r="H17" s="43">
        <v>2195904</v>
      </c>
      <c r="I17" s="43">
        <v>2181896</v>
      </c>
      <c r="J17" s="43">
        <v>2177716</v>
      </c>
      <c r="K17" s="43">
        <v>2180890</v>
      </c>
      <c r="L17" s="43">
        <v>2172753</v>
      </c>
      <c r="M17" s="43">
        <v>2162890</v>
      </c>
      <c r="N17" s="43">
        <v>2145271</v>
      </c>
      <c r="O17" s="43">
        <v>2123017</v>
      </c>
      <c r="P17" s="43">
        <v>2080454</v>
      </c>
      <c r="Q17" s="43">
        <v>2036543</v>
      </c>
      <c r="R17" s="43">
        <v>2031191</v>
      </c>
    </row>
    <row r="18" spans="1:18" ht="18" customHeight="1">
      <c r="A18" s="26">
        <v>9</v>
      </c>
      <c r="B18" s="27" t="s">
        <v>71</v>
      </c>
      <c r="C18" s="36">
        <v>2686860</v>
      </c>
      <c r="D18" s="36">
        <v>2664909</v>
      </c>
      <c r="E18" s="36">
        <v>2666614</v>
      </c>
      <c r="F18" s="36">
        <v>2675525</v>
      </c>
      <c r="G18" s="43">
        <v>2696906</v>
      </c>
      <c r="H18" s="43">
        <v>2677598</v>
      </c>
      <c r="I18" s="43">
        <v>2669061</v>
      </c>
      <c r="J18" s="43">
        <v>2658461</v>
      </c>
      <c r="K18" s="43">
        <v>2625152</v>
      </c>
      <c r="L18" s="43">
        <v>2577223</v>
      </c>
      <c r="M18" s="43">
        <v>2532369</v>
      </c>
      <c r="N18" s="43">
        <v>2162013</v>
      </c>
      <c r="O18" s="43">
        <v>2138389</v>
      </c>
      <c r="P18" s="43">
        <v>2094528</v>
      </c>
      <c r="Q18" s="43">
        <v>2049318</v>
      </c>
      <c r="R18" s="43">
        <v>2043117</v>
      </c>
    </row>
    <row r="19" spans="1:18" ht="18" customHeight="1">
      <c r="A19" s="26">
        <v>10</v>
      </c>
      <c r="B19" s="33" t="s">
        <v>72</v>
      </c>
      <c r="C19" s="44">
        <v>500.56</v>
      </c>
      <c r="D19" s="44">
        <v>554.78</v>
      </c>
      <c r="E19" s="44">
        <v>570.33000000000004</v>
      </c>
      <c r="F19" s="44">
        <v>594.15032326535106</v>
      </c>
      <c r="G19" s="37">
        <v>618.05999999999995</v>
      </c>
      <c r="H19" s="44">
        <v>648.73</v>
      </c>
      <c r="I19" s="44">
        <v>683.34</v>
      </c>
      <c r="J19" s="44">
        <v>726.4</v>
      </c>
      <c r="K19" s="44">
        <v>770.07</v>
      </c>
      <c r="L19" s="44">
        <v>821.51</v>
      </c>
      <c r="M19" s="44">
        <v>889.9</v>
      </c>
      <c r="N19" s="44">
        <v>986.52</v>
      </c>
      <c r="O19" s="45">
        <v>1069.5</v>
      </c>
      <c r="P19" s="45">
        <v>1169.25</v>
      </c>
      <c r="Q19" s="45">
        <v>1298.45</v>
      </c>
      <c r="R19" s="45">
        <v>1445.55</v>
      </c>
    </row>
    <row r="20" spans="1:18" ht="18" hidden="1" customHeight="1">
      <c r="A20" s="26"/>
      <c r="B20" s="33" t="s">
        <v>27</v>
      </c>
      <c r="C20" s="44">
        <f>(C19-C19*0.138)*0.9</f>
        <v>388.33444800000001</v>
      </c>
      <c r="D20" s="44">
        <f>(D19-D19*0.13)*0.9</f>
        <v>434.39274</v>
      </c>
      <c r="E20" s="44">
        <f>(E19-E19*0.121)*0.9</f>
        <v>451.18806300000006</v>
      </c>
      <c r="F20" s="44">
        <v>465.75443840770868</v>
      </c>
      <c r="G20" s="44">
        <v>484.49723399999999</v>
      </c>
      <c r="H20" s="44">
        <v>508.539447</v>
      </c>
      <c r="I20" s="44">
        <f>I19*(1-0.129)*0.9</f>
        <v>535.67022600000007</v>
      </c>
      <c r="J20" s="44">
        <f>J19*(1-0.129)*0.9</f>
        <v>569.42495999999994</v>
      </c>
      <c r="K20" s="46">
        <f>0.9*0.871*K19</f>
        <v>603.65787300000011</v>
      </c>
      <c r="L20" s="46">
        <f>0.9*(1-0.1334)*L19</f>
        <v>640.72850940000001</v>
      </c>
      <c r="M20" s="46">
        <f>0.9*(1-0.1378)*M19</f>
        <v>690.54460199999994</v>
      </c>
      <c r="N20" s="46">
        <f>0.9*(1-0.1378)*N19</f>
        <v>765.51978959999997</v>
      </c>
      <c r="O20" s="46">
        <f>0.9*(1-0.1378)*O19</f>
        <v>829.91061000000002</v>
      </c>
      <c r="P20" s="46">
        <f t="shared" ref="P20:R20" si="0">0.9*(1-0.1378)*P19</f>
        <v>907.314615</v>
      </c>
      <c r="Q20" s="46">
        <f t="shared" si="0"/>
        <v>1007.571231</v>
      </c>
      <c r="R20" s="46">
        <f t="shared" si="0"/>
        <v>1121.717889</v>
      </c>
    </row>
    <row r="21" spans="1:18" ht="18" customHeight="1">
      <c r="A21" s="26">
        <v>11</v>
      </c>
      <c r="B21" s="27" t="s">
        <v>73</v>
      </c>
      <c r="C21" s="38">
        <v>4197954.5889999997</v>
      </c>
      <c r="D21" s="38">
        <v>3708033.834999999</v>
      </c>
      <c r="E21" s="38">
        <v>3304028.1739999996</v>
      </c>
      <c r="F21" s="38">
        <v>3807237.2521299999</v>
      </c>
      <c r="G21" s="38">
        <v>3832294.4448099998</v>
      </c>
      <c r="H21" s="38">
        <v>4220170.18</v>
      </c>
      <c r="I21" s="38">
        <v>4483134.6000000006</v>
      </c>
      <c r="J21" s="38">
        <v>4798107.4000000004</v>
      </c>
      <c r="K21" s="38">
        <v>5064900.7</v>
      </c>
      <c r="L21" s="38">
        <v>5914007.2999999998</v>
      </c>
      <c r="M21" s="38">
        <v>6772399.7999999998</v>
      </c>
      <c r="N21" s="38">
        <v>7559866.2999999998</v>
      </c>
      <c r="O21" s="38">
        <v>7882663.2000000002</v>
      </c>
      <c r="P21" s="38">
        <v>8756011.6999999993</v>
      </c>
      <c r="Q21" s="38">
        <v>9841317.0999999996</v>
      </c>
      <c r="R21" s="38">
        <v>11204812.4</v>
      </c>
    </row>
    <row r="22" spans="1:18" ht="30" customHeight="1">
      <c r="A22" s="26">
        <v>12</v>
      </c>
      <c r="B22" s="27" t="s">
        <v>74</v>
      </c>
      <c r="C22" s="38">
        <v>2683284</v>
      </c>
      <c r="D22" s="38">
        <v>3884670.2139999997</v>
      </c>
      <c r="E22" s="38">
        <v>4827496.5932900002</v>
      </c>
      <c r="F22" s="38">
        <v>4417497.5846699998</v>
      </c>
      <c r="G22" s="38">
        <v>4519978.7589999996</v>
      </c>
      <c r="H22" s="38">
        <v>4708289.4620000003</v>
      </c>
      <c r="I22" s="38">
        <v>4882939</v>
      </c>
      <c r="J22" s="38">
        <v>4924425.3</v>
      </c>
      <c r="K22" s="38">
        <v>4953632.0999999996</v>
      </c>
      <c r="L22" s="38">
        <v>4557449.3</v>
      </c>
      <c r="M22" s="38">
        <v>4292306.0999999996</v>
      </c>
      <c r="N22" s="38">
        <v>3931563.4</v>
      </c>
      <c r="O22" s="38">
        <v>6247090.0999999996</v>
      </c>
      <c r="P22" s="38">
        <v>8221985.9000000004</v>
      </c>
      <c r="Q22" s="38">
        <v>8054317</v>
      </c>
      <c r="R22" s="38">
        <v>10251405.5</v>
      </c>
    </row>
    <row r="23" spans="1:18" ht="18" customHeight="1">
      <c r="A23" s="26">
        <f>A22+1</f>
        <v>13</v>
      </c>
      <c r="B23" s="27" t="s">
        <v>75</v>
      </c>
      <c r="C23" s="38">
        <v>6451409.5955799995</v>
      </c>
      <c r="D23" s="38">
        <v>7643871.5599999996</v>
      </c>
      <c r="E23" s="38">
        <v>8171447.8680000007</v>
      </c>
      <c r="F23" s="38">
        <v>8216247.8270000005</v>
      </c>
      <c r="G23" s="38">
        <v>8362149.2420000006</v>
      </c>
      <c r="H23" s="38">
        <v>8972158.3000000007</v>
      </c>
      <c r="I23" s="38">
        <v>9380684.1000000015</v>
      </c>
      <c r="J23" s="38">
        <v>9761899</v>
      </c>
      <c r="K23" s="38">
        <v>10188000.800000001</v>
      </c>
      <c r="L23" s="38">
        <v>10558597.9</v>
      </c>
      <c r="M23" s="38">
        <v>11178879</v>
      </c>
      <c r="N23" s="38">
        <v>11656486</v>
      </c>
      <c r="O23" s="38">
        <v>14285694.300000001</v>
      </c>
      <c r="P23" s="38">
        <v>17314521.600000001</v>
      </c>
      <c r="Q23" s="38">
        <v>18108350.300000001</v>
      </c>
      <c r="R23" s="38">
        <v>21609512.300000001</v>
      </c>
    </row>
    <row r="24" spans="1:18" ht="18" customHeight="1">
      <c r="A24" s="26">
        <f t="shared" ref="A24:A28" si="1">A23+1</f>
        <v>14</v>
      </c>
      <c r="B24" s="27" t="s">
        <v>76</v>
      </c>
      <c r="C24" s="38">
        <v>5597277.3099999996</v>
      </c>
      <c r="D24" s="38">
        <v>6480412.5480000004</v>
      </c>
      <c r="E24" s="38">
        <v>6981012.1000000006</v>
      </c>
      <c r="F24" s="38">
        <v>7091518.0839999998</v>
      </c>
      <c r="G24" s="38">
        <v>7217334.7870000005</v>
      </c>
      <c r="H24" s="38">
        <v>7746096.3599999994</v>
      </c>
      <c r="I24" s="38">
        <v>8116484.3269999996</v>
      </c>
      <c r="J24" s="38">
        <v>8408865.0999999996</v>
      </c>
      <c r="K24" s="38">
        <v>8706419.0999999996</v>
      </c>
      <c r="L24" s="38">
        <v>9007188.3000000007</v>
      </c>
      <c r="M24" s="38">
        <v>9455890.5</v>
      </c>
      <c r="N24" s="38">
        <v>9860527.0999999996</v>
      </c>
      <c r="O24" s="38">
        <v>11137328</v>
      </c>
      <c r="P24" s="38">
        <v>14249161.821</v>
      </c>
      <c r="Q24" s="38">
        <v>15634714.6</v>
      </c>
      <c r="R24" s="38">
        <v>19121115.170000002</v>
      </c>
    </row>
    <row r="25" spans="1:18" ht="30" customHeight="1">
      <c r="A25" s="26">
        <f t="shared" si="1"/>
        <v>15</v>
      </c>
      <c r="B25" s="47" t="s">
        <v>77</v>
      </c>
      <c r="C25" s="38">
        <v>100432.3</v>
      </c>
      <c r="D25" s="38">
        <v>239100.48826000001</v>
      </c>
      <c r="E25" s="38">
        <v>311362.47788999998</v>
      </c>
      <c r="F25" s="38">
        <v>320445.77211999998</v>
      </c>
      <c r="G25" s="38">
        <v>354885.24822000001</v>
      </c>
      <c r="H25" s="38">
        <v>351727.82283999998</v>
      </c>
      <c r="I25" s="38">
        <v>340176.35200000001</v>
      </c>
      <c r="J25" s="38">
        <v>338982.7</v>
      </c>
      <c r="K25" s="38">
        <v>389971.96899999998</v>
      </c>
      <c r="L25" s="38">
        <v>394081.1</v>
      </c>
      <c r="M25" s="38">
        <v>431362.7</v>
      </c>
      <c r="N25" s="38">
        <v>424517.7</v>
      </c>
      <c r="O25" s="38">
        <v>658598.40000000002</v>
      </c>
      <c r="P25" s="38">
        <v>528860.80000000005</v>
      </c>
      <c r="Q25" s="38">
        <v>412586.2</v>
      </c>
      <c r="R25" s="38">
        <v>479050.21799999999</v>
      </c>
    </row>
    <row r="26" spans="1:18" ht="60" customHeight="1">
      <c r="A26" s="26">
        <f t="shared" si="1"/>
        <v>16</v>
      </c>
      <c r="B26" s="27" t="s">
        <v>41</v>
      </c>
      <c r="C26" s="38">
        <v>277854</v>
      </c>
      <c r="D26" s="38">
        <v>347650.09547</v>
      </c>
      <c r="E26" s="38">
        <v>306361.549</v>
      </c>
      <c r="F26" s="38">
        <v>256296.35191</v>
      </c>
      <c r="G26" s="38">
        <v>281591.59999999998</v>
      </c>
      <c r="H26" s="38">
        <v>329580.5</v>
      </c>
      <c r="I26" s="38">
        <v>352227.22</v>
      </c>
      <c r="J26" s="38">
        <f>334432+12674.1+55979.1</f>
        <v>403085.19999999995</v>
      </c>
      <c r="K26" s="38">
        <v>454127.16499999998</v>
      </c>
      <c r="L26" s="38">
        <v>508820.8</v>
      </c>
      <c r="M26" s="38">
        <v>556957.80000000005</v>
      </c>
      <c r="N26" s="38">
        <v>596735.1</v>
      </c>
      <c r="O26" s="38">
        <v>671985.2</v>
      </c>
      <c r="P26" s="38" t="s">
        <v>51</v>
      </c>
      <c r="Q26" s="38">
        <v>864099.8</v>
      </c>
      <c r="R26" s="38">
        <v>878736.56</v>
      </c>
    </row>
    <row r="27" spans="1:18" ht="30" customHeight="1">
      <c r="A27" s="26">
        <f t="shared" si="1"/>
        <v>17</v>
      </c>
      <c r="B27" s="27" t="s">
        <v>78</v>
      </c>
      <c r="C27" s="38">
        <v>197807.7</v>
      </c>
      <c r="D27" s="38">
        <v>300904.44163999998</v>
      </c>
      <c r="E27" s="38">
        <v>315394.59999999998</v>
      </c>
      <c r="F27" s="38">
        <v>299739.31238999998</v>
      </c>
      <c r="G27" s="38">
        <v>270345.69384999998</v>
      </c>
      <c r="H27" s="38">
        <v>286012.7</v>
      </c>
      <c r="I27" s="38">
        <v>297534.97499999998</v>
      </c>
      <c r="J27" s="38">
        <v>331379</v>
      </c>
      <c r="K27" s="38">
        <v>355066.3</v>
      </c>
      <c r="L27" s="38">
        <v>385566.8</v>
      </c>
      <c r="M27" s="38">
        <v>416204.9</v>
      </c>
      <c r="N27" s="38">
        <v>446899.1</v>
      </c>
      <c r="O27" s="38">
        <v>492614.8</v>
      </c>
      <c r="P27" s="38" t="s">
        <v>52</v>
      </c>
      <c r="Q27" s="38">
        <v>554859.1</v>
      </c>
      <c r="R27" s="70">
        <v>597134.59</v>
      </c>
    </row>
    <row r="28" spans="1:18" ht="45" customHeight="1">
      <c r="A28" s="26">
        <f t="shared" si="1"/>
        <v>18</v>
      </c>
      <c r="B28" s="27" t="s">
        <v>79</v>
      </c>
      <c r="C28" s="38">
        <v>129011.50356999999</v>
      </c>
      <c r="D28" s="38">
        <v>127587.47921</v>
      </c>
      <c r="E28" s="38">
        <v>125724</v>
      </c>
      <c r="F28" s="38">
        <v>118875.16115</v>
      </c>
      <c r="G28" s="38">
        <v>109096.55491000001</v>
      </c>
      <c r="H28" s="38">
        <v>128302.8</v>
      </c>
      <c r="I28" s="38">
        <v>144584.20000000001</v>
      </c>
      <c r="J28" s="38">
        <v>153180.5</v>
      </c>
      <c r="K28" s="38">
        <v>156936.80000000002</v>
      </c>
      <c r="L28" s="38">
        <v>156762.1</v>
      </c>
      <c r="M28" s="38">
        <v>178239.7</v>
      </c>
      <c r="N28" s="38">
        <v>176734.4</v>
      </c>
      <c r="O28" s="38">
        <v>169785.2</v>
      </c>
      <c r="P28" s="38">
        <f>190818.7+3302.9</f>
        <v>194121.60000000001</v>
      </c>
      <c r="Q28" s="38">
        <f>292288.2+3015.7</f>
        <v>295303.90000000002</v>
      </c>
      <c r="R28" s="38">
        <v>329555.7</v>
      </c>
    </row>
    <row r="29" spans="1:18" ht="45" customHeight="1">
      <c r="A29" s="39">
        <v>19</v>
      </c>
      <c r="B29" s="48" t="s">
        <v>80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>
        <v>1108.8</v>
      </c>
      <c r="R29" s="49">
        <v>4343.7290000000003</v>
      </c>
    </row>
    <row r="30" spans="1:18" ht="27.75" customHeight="1">
      <c r="A30" s="13"/>
      <c r="B30" s="14" t="s">
        <v>104</v>
      </c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8" customHeight="1">
      <c r="A31" s="22">
        <v>20</v>
      </c>
      <c r="B31" s="50" t="s">
        <v>72</v>
      </c>
      <c r="C31" s="51">
        <v>500.56</v>
      </c>
      <c r="D31" s="51">
        <v>554.78</v>
      </c>
      <c r="E31" s="52">
        <v>570.33000000000004</v>
      </c>
      <c r="F31" s="52">
        <v>594.15032326535106</v>
      </c>
      <c r="G31" s="53">
        <v>618.05999999999995</v>
      </c>
      <c r="H31" s="53">
        <v>648.73</v>
      </c>
      <c r="I31" s="53">
        <v>683.34</v>
      </c>
      <c r="J31" s="53">
        <v>726.4</v>
      </c>
      <c r="K31" s="53">
        <v>770.07</v>
      </c>
      <c r="L31" s="53">
        <f>L19</f>
        <v>821.51</v>
      </c>
      <c r="M31" s="53">
        <v>889.9</v>
      </c>
      <c r="N31" s="53">
        <v>986.52</v>
      </c>
      <c r="O31" s="54">
        <v>1069.5</v>
      </c>
      <c r="P31" s="54">
        <v>1169.25</v>
      </c>
      <c r="Q31" s="54">
        <v>1298.45</v>
      </c>
      <c r="R31" s="54">
        <v>1445.55</v>
      </c>
    </row>
    <row r="32" spans="1:18" ht="18" customHeight="1">
      <c r="A32" s="26"/>
      <c r="B32" s="78" t="s">
        <v>16</v>
      </c>
      <c r="C32" s="55"/>
      <c r="D32" s="56">
        <f>D31/C31*100</f>
        <v>110.83186830749561</v>
      </c>
      <c r="E32" s="30">
        <v>102.80291286636145</v>
      </c>
      <c r="F32" s="30">
        <v>104.17658605813318</v>
      </c>
      <c r="G32" s="30">
        <v>104.02417970644959</v>
      </c>
      <c r="H32" s="30">
        <v>104.96230139468661</v>
      </c>
      <c r="I32" s="30">
        <f t="shared" ref="I32:R32" si="2">I31/H31*100</f>
        <v>105.33503923049652</v>
      </c>
      <c r="J32" s="30">
        <f t="shared" si="2"/>
        <v>106.30140193754207</v>
      </c>
      <c r="K32" s="30">
        <f t="shared" si="2"/>
        <v>106.01183920704847</v>
      </c>
      <c r="L32" s="30">
        <f t="shared" si="2"/>
        <v>106.67991221577257</v>
      </c>
      <c r="M32" s="30">
        <f t="shared" si="2"/>
        <v>108.32491387810252</v>
      </c>
      <c r="N32" s="30">
        <f t="shared" si="2"/>
        <v>110.85739970783234</v>
      </c>
      <c r="O32" s="30">
        <f t="shared" si="2"/>
        <v>108.41138547621945</v>
      </c>
      <c r="P32" s="30">
        <f t="shared" si="2"/>
        <v>109.32678821879382</v>
      </c>
      <c r="Q32" s="30">
        <f t="shared" si="2"/>
        <v>111.0498182595681</v>
      </c>
      <c r="R32" s="30">
        <f t="shared" si="2"/>
        <v>111.32889214062919</v>
      </c>
    </row>
    <row r="33" spans="1:18" ht="30" customHeight="1">
      <c r="A33" s="26">
        <v>21</v>
      </c>
      <c r="B33" s="27" t="s">
        <v>96</v>
      </c>
      <c r="C33" s="37">
        <v>2000</v>
      </c>
      <c r="D33" s="37">
        <v>2000</v>
      </c>
      <c r="E33" s="37">
        <v>2000</v>
      </c>
      <c r="F33" s="37">
        <v>2000</v>
      </c>
      <c r="G33" s="37">
        <v>2000</v>
      </c>
      <c r="H33" s="37">
        <v>2200</v>
      </c>
      <c r="I33" s="37">
        <v>2400</v>
      </c>
      <c r="J33" s="37">
        <v>2600</v>
      </c>
      <c r="K33" s="37">
        <v>2600</v>
      </c>
      <c r="L33" s="37">
        <v>2600</v>
      </c>
      <c r="M33" s="37">
        <v>2600</v>
      </c>
      <c r="N33" s="37">
        <v>3000</v>
      </c>
      <c r="O33" s="37">
        <v>3000</v>
      </c>
      <c r="P33" s="37">
        <v>3000</v>
      </c>
      <c r="Q33" s="37">
        <f>(3*3000+9*3400)/12</f>
        <v>3300</v>
      </c>
      <c r="R33" s="37">
        <v>3400</v>
      </c>
    </row>
    <row r="34" spans="1:18" ht="18" customHeight="1">
      <c r="A34" s="26"/>
      <c r="B34" s="78" t="s">
        <v>16</v>
      </c>
      <c r="C34" s="37"/>
      <c r="D34" s="37">
        <f>D33/C33*100</f>
        <v>100</v>
      </c>
      <c r="E34" s="37">
        <f t="shared" ref="E34:R34" si="3">E33/D33*100</f>
        <v>100</v>
      </c>
      <c r="F34" s="37">
        <f t="shared" si="3"/>
        <v>100</v>
      </c>
      <c r="G34" s="37">
        <f t="shared" si="3"/>
        <v>100</v>
      </c>
      <c r="H34" s="37">
        <f t="shared" si="3"/>
        <v>110.00000000000001</v>
      </c>
      <c r="I34" s="37">
        <f t="shared" si="3"/>
        <v>109.09090909090908</v>
      </c>
      <c r="J34" s="37">
        <f t="shared" si="3"/>
        <v>108.33333333333333</v>
      </c>
      <c r="K34" s="37">
        <f t="shared" si="3"/>
        <v>100</v>
      </c>
      <c r="L34" s="37">
        <f t="shared" si="3"/>
        <v>100</v>
      </c>
      <c r="M34" s="37">
        <f t="shared" si="3"/>
        <v>100</v>
      </c>
      <c r="N34" s="37">
        <f t="shared" si="3"/>
        <v>115.38461538461537</v>
      </c>
      <c r="O34" s="37">
        <f t="shared" si="3"/>
        <v>100</v>
      </c>
      <c r="P34" s="37">
        <f t="shared" si="3"/>
        <v>100</v>
      </c>
      <c r="Q34" s="37">
        <f t="shared" si="3"/>
        <v>110.00000000000001</v>
      </c>
      <c r="R34" s="37">
        <f t="shared" si="3"/>
        <v>103.03030303030303</v>
      </c>
    </row>
    <row r="35" spans="1:18" ht="18" customHeight="1">
      <c r="A35" s="26">
        <v>22</v>
      </c>
      <c r="B35" s="57" t="s">
        <v>81</v>
      </c>
      <c r="C35" s="37">
        <v>208.97</v>
      </c>
      <c r="D35" s="56">
        <v>244.46</v>
      </c>
      <c r="E35" s="56">
        <v>263.4425</v>
      </c>
      <c r="F35" s="56">
        <v>266.63</v>
      </c>
      <c r="G35" s="37">
        <v>271.20999999999998</v>
      </c>
      <c r="H35" s="37">
        <v>293.95999999999998</v>
      </c>
      <c r="I35" s="37">
        <v>310</v>
      </c>
      <c r="J35" s="37">
        <v>321.77999999999997</v>
      </c>
      <c r="K35" s="37">
        <v>332.68</v>
      </c>
      <c r="L35" s="37">
        <v>345.46</v>
      </c>
      <c r="M35" s="37">
        <v>364.32</v>
      </c>
      <c r="N35" s="37">
        <v>383.03</v>
      </c>
      <c r="O35" s="37">
        <v>437.17</v>
      </c>
      <c r="P35" s="37">
        <v>536.71</v>
      </c>
      <c r="Q35" s="37">
        <v>674.54</v>
      </c>
      <c r="R35" s="37">
        <v>784.48</v>
      </c>
    </row>
    <row r="36" spans="1:18" ht="18" customHeight="1">
      <c r="A36" s="26"/>
      <c r="B36" s="78" t="s">
        <v>16</v>
      </c>
      <c r="C36" s="28"/>
      <c r="D36" s="56">
        <f>D35/C35*100</f>
        <v>116.98329903813945</v>
      </c>
      <c r="E36" s="30">
        <v>107.76469007313713</v>
      </c>
      <c r="F36" s="30">
        <v>101.20994144832363</v>
      </c>
      <c r="G36" s="30">
        <v>101.71773618872595</v>
      </c>
      <c r="H36" s="30">
        <v>108.38833376350429</v>
      </c>
      <c r="I36" s="30">
        <f t="shared" ref="I36:R36" si="4">I35/H35*100</f>
        <v>105.45652469723773</v>
      </c>
      <c r="J36" s="30">
        <f t="shared" si="4"/>
        <v>103.79999999999998</v>
      </c>
      <c r="K36" s="30">
        <f t="shared" si="4"/>
        <v>103.38740754552802</v>
      </c>
      <c r="L36" s="30">
        <f t="shared" si="4"/>
        <v>103.84152939761933</v>
      </c>
      <c r="M36" s="30">
        <f t="shared" si="4"/>
        <v>105.45938748335553</v>
      </c>
      <c r="N36" s="30">
        <f t="shared" si="4"/>
        <v>105.13559508124726</v>
      </c>
      <c r="O36" s="30">
        <f t="shared" si="4"/>
        <v>114.13466308122079</v>
      </c>
      <c r="P36" s="30">
        <f t="shared" si="4"/>
        <v>122.76917446302353</v>
      </c>
      <c r="Q36" s="30">
        <f t="shared" si="4"/>
        <v>125.68053511207169</v>
      </c>
      <c r="R36" s="30">
        <f t="shared" si="4"/>
        <v>116.29851454324429</v>
      </c>
    </row>
    <row r="37" spans="1:18" s="7" customFormat="1" ht="18" customHeight="1">
      <c r="A37" s="26">
        <v>23</v>
      </c>
      <c r="B37" s="57" t="s">
        <v>82</v>
      </c>
      <c r="C37" s="56">
        <v>210</v>
      </c>
      <c r="D37" s="56">
        <f>(254.92*1589133+410.62*92313)/(1589133+92313)</f>
        <v>263.46807951013591</v>
      </c>
      <c r="E37" s="56">
        <v>284.89999999999998</v>
      </c>
      <c r="F37" s="56">
        <v>289.19</v>
      </c>
      <c r="G37" s="37">
        <v>294.36</v>
      </c>
      <c r="H37" s="37">
        <v>318.08999999999997</v>
      </c>
      <c r="I37" s="37">
        <v>334.41</v>
      </c>
      <c r="J37" s="37">
        <v>351.73</v>
      </c>
      <c r="K37" s="37">
        <v>365.21</v>
      </c>
      <c r="L37" s="37">
        <v>379.38</v>
      </c>
      <c r="M37" s="37">
        <v>398.81</v>
      </c>
      <c r="N37" s="37">
        <v>422.84</v>
      </c>
      <c r="O37" s="37">
        <v>483.21</v>
      </c>
      <c r="P37" s="37">
        <v>585.41</v>
      </c>
      <c r="Q37" s="37">
        <v>730.79</v>
      </c>
      <c r="R37" s="37">
        <v>861.23</v>
      </c>
    </row>
    <row r="38" spans="1:18" s="7" customFormat="1" ht="18" customHeight="1">
      <c r="A38" s="26"/>
      <c r="B38" s="78" t="s">
        <v>16</v>
      </c>
      <c r="C38" s="28"/>
      <c r="D38" s="56">
        <f>D37/C37*100</f>
        <v>125.46099024292185</v>
      </c>
      <c r="E38" s="56">
        <f>E37/D37*100</f>
        <v>108.13454158458676</v>
      </c>
      <c r="F38" s="30">
        <v>101.7772928837897</v>
      </c>
      <c r="G38" s="30">
        <v>101.78775199695703</v>
      </c>
      <c r="H38" s="30">
        <v>108.06155727680391</v>
      </c>
      <c r="I38" s="30">
        <f t="shared" ref="I38:R38" si="5">I37/H37*100</f>
        <v>105.13062340846932</v>
      </c>
      <c r="J38" s="30">
        <f t="shared" si="5"/>
        <v>105.17927095481593</v>
      </c>
      <c r="K38" s="30">
        <f t="shared" si="5"/>
        <v>103.83248514485541</v>
      </c>
      <c r="L38" s="30">
        <f t="shared" si="5"/>
        <v>103.87995947537034</v>
      </c>
      <c r="M38" s="30">
        <f t="shared" si="5"/>
        <v>105.12151404923824</v>
      </c>
      <c r="N38" s="30">
        <f t="shared" si="5"/>
        <v>106.02542564128281</v>
      </c>
      <c r="O38" s="30">
        <f t="shared" si="5"/>
        <v>114.27726799735125</v>
      </c>
      <c r="P38" s="30">
        <f t="shared" si="5"/>
        <v>121.15022454005504</v>
      </c>
      <c r="Q38" s="30">
        <f t="shared" si="5"/>
        <v>124.8338771117678</v>
      </c>
      <c r="R38" s="30">
        <f t="shared" si="5"/>
        <v>117.8491769181297</v>
      </c>
    </row>
    <row r="39" spans="1:18" ht="18" customHeight="1">
      <c r="A39" s="26">
        <v>24</v>
      </c>
      <c r="B39" s="27" t="s">
        <v>83</v>
      </c>
      <c r="C39" s="37">
        <f>(76.23+84.12)/2</f>
        <v>80.175000000000011</v>
      </c>
      <c r="D39" s="37">
        <f>(92.53+100.86)/2</f>
        <v>96.694999999999993</v>
      </c>
      <c r="E39" s="37">
        <v>100.86</v>
      </c>
      <c r="F39" s="37">
        <v>100.86</v>
      </c>
      <c r="G39" s="37">
        <v>100.86</v>
      </c>
      <c r="H39" s="37">
        <v>107.72</v>
      </c>
      <c r="I39" s="37">
        <v>111.5</v>
      </c>
      <c r="J39" s="37">
        <v>114.08</v>
      </c>
      <c r="K39" s="37">
        <v>116.65</v>
      </c>
      <c r="L39" s="37">
        <f>(118.14+120.98)/2</f>
        <v>119.56</v>
      </c>
      <c r="M39" s="37">
        <f>(120.98+125.58)/2</f>
        <v>123.28</v>
      </c>
      <c r="N39" s="37">
        <f>(125.58+132.74)/2</f>
        <v>129.16</v>
      </c>
      <c r="O39" s="37">
        <f>(132.74+141.63)/2</f>
        <v>137.185</v>
      </c>
      <c r="P39" s="37">
        <v>145.17000000000002</v>
      </c>
      <c r="Q39" s="37">
        <f>(170+247)/2</f>
        <v>208.5</v>
      </c>
      <c r="R39" s="37">
        <f>(247+276.64)/2</f>
        <v>261.82</v>
      </c>
    </row>
    <row r="40" spans="1:18" ht="18" customHeight="1">
      <c r="A40" s="26"/>
      <c r="B40" s="78" t="s">
        <v>16</v>
      </c>
      <c r="C40" s="55"/>
      <c r="D40" s="56">
        <v>100</v>
      </c>
      <c r="E40" s="30">
        <v>100</v>
      </c>
      <c r="F40" s="30">
        <v>100</v>
      </c>
      <c r="G40" s="30">
        <v>100</v>
      </c>
      <c r="H40" s="30">
        <v>106.80150703946063</v>
      </c>
      <c r="I40" s="30">
        <f t="shared" ref="I40:P40" si="6">I39/H39*100</f>
        <v>103.50909766060157</v>
      </c>
      <c r="J40" s="30">
        <f t="shared" si="6"/>
        <v>102.31390134529148</v>
      </c>
      <c r="K40" s="30">
        <f t="shared" si="6"/>
        <v>102.25280504908835</v>
      </c>
      <c r="L40" s="30">
        <f t="shared" si="6"/>
        <v>102.49464209172739</v>
      </c>
      <c r="M40" s="30">
        <f t="shared" si="6"/>
        <v>103.11140849782537</v>
      </c>
      <c r="N40" s="30">
        <f t="shared" si="6"/>
        <v>104.76963011031796</v>
      </c>
      <c r="O40" s="30">
        <f t="shared" si="6"/>
        <v>106.21322390833076</v>
      </c>
      <c r="P40" s="30">
        <f t="shared" si="6"/>
        <v>105.82060720924301</v>
      </c>
      <c r="Q40" s="30">
        <f>Q39/P39*100</f>
        <v>143.6247158503823</v>
      </c>
      <c r="R40" s="30">
        <f>R39/Q39*100</f>
        <v>125.57314148681056</v>
      </c>
    </row>
    <row r="41" spans="1:18" ht="45" customHeight="1">
      <c r="A41" s="26">
        <v>25</v>
      </c>
      <c r="B41" s="27" t="s">
        <v>84</v>
      </c>
      <c r="C41" s="37">
        <f>(102.85+113.49)/2</f>
        <v>108.16999999999999</v>
      </c>
      <c r="D41" s="37">
        <f>(124.84+136.08)/2</f>
        <v>130.46</v>
      </c>
      <c r="E41" s="37">
        <v>136.08000000000001</v>
      </c>
      <c r="F41" s="37">
        <v>136.08000000000001</v>
      </c>
      <c r="G41" s="37">
        <v>141.28</v>
      </c>
      <c r="H41" s="37">
        <v>148.75</v>
      </c>
      <c r="I41" s="37">
        <v>152.25</v>
      </c>
      <c r="J41" s="37">
        <v>155.97</v>
      </c>
      <c r="K41" s="37">
        <v>159.41</v>
      </c>
      <c r="L41" s="37">
        <f>(161.38*6+180*3+200*3)/12</f>
        <v>175.68999999999997</v>
      </c>
      <c r="M41" s="37">
        <f>(200+207.6)/2</f>
        <v>203.8</v>
      </c>
      <c r="N41" s="37">
        <f>(207.6+219.43)/2</f>
        <v>213.51499999999999</v>
      </c>
      <c r="O41" s="37">
        <f>(219.43+250)/2</f>
        <v>234.715</v>
      </c>
      <c r="P41" s="37">
        <v>300</v>
      </c>
      <c r="Q41" s="37">
        <f>(370+467)/2</f>
        <v>418.5</v>
      </c>
      <c r="R41" s="37">
        <f>(467+523.04)/2</f>
        <v>495.02</v>
      </c>
    </row>
    <row r="42" spans="1:18" ht="18" customHeight="1">
      <c r="A42" s="26"/>
      <c r="B42" s="27" t="s">
        <v>17</v>
      </c>
      <c r="C42" s="28"/>
      <c r="D42" s="56">
        <f>D41/C41*100</f>
        <v>120.60645280576871</v>
      </c>
      <c r="E42" s="30">
        <v>104.30783381879503</v>
      </c>
      <c r="F42" s="30">
        <v>100</v>
      </c>
      <c r="G42" s="30">
        <v>103.82128159905936</v>
      </c>
      <c r="H42" s="30">
        <v>105.28737259343148</v>
      </c>
      <c r="I42" s="30">
        <f t="shared" ref="I42:R42" si="7">I41/H41*100</f>
        <v>102.35294117647058</v>
      </c>
      <c r="J42" s="30">
        <f t="shared" si="7"/>
        <v>102.44334975369458</v>
      </c>
      <c r="K42" s="30">
        <f t="shared" si="7"/>
        <v>102.20555234981086</v>
      </c>
      <c r="L42" s="30">
        <f t="shared" si="7"/>
        <v>110.21265918072891</v>
      </c>
      <c r="M42" s="30">
        <f t="shared" si="7"/>
        <v>115.9997723262565</v>
      </c>
      <c r="N42" s="30">
        <f t="shared" si="7"/>
        <v>104.76692836113837</v>
      </c>
      <c r="O42" s="30">
        <f t="shared" si="7"/>
        <v>109.9290447977894</v>
      </c>
      <c r="P42" s="30">
        <f t="shared" si="7"/>
        <v>127.81458364399379</v>
      </c>
      <c r="Q42" s="30">
        <f t="shared" si="7"/>
        <v>139.5</v>
      </c>
      <c r="R42" s="30">
        <f t="shared" si="7"/>
        <v>118.28434886499402</v>
      </c>
    </row>
    <row r="43" spans="1:18" ht="30" customHeight="1">
      <c r="A43" s="26">
        <v>26</v>
      </c>
      <c r="B43" s="27" t="s">
        <v>85</v>
      </c>
      <c r="C43" s="37">
        <v>490</v>
      </c>
      <c r="D43" s="37">
        <f>(490*3+700*9)/12</f>
        <v>647.5</v>
      </c>
      <c r="E43" s="37">
        <v>700</v>
      </c>
      <c r="F43" s="37">
        <v>700</v>
      </c>
      <c r="G43" s="44">
        <v>700</v>
      </c>
      <c r="H43" s="44">
        <v>752.5</v>
      </c>
      <c r="I43" s="44">
        <v>805</v>
      </c>
      <c r="J43" s="44">
        <v>875</v>
      </c>
      <c r="K43" s="44">
        <v>910</v>
      </c>
      <c r="L43" s="44">
        <v>910</v>
      </c>
      <c r="M43" s="44">
        <v>910</v>
      </c>
      <c r="N43" s="44">
        <f>(910+1200)/2</f>
        <v>1055</v>
      </c>
      <c r="O43" s="44">
        <v>1200</v>
      </c>
      <c r="P43" s="44">
        <v>1440</v>
      </c>
      <c r="Q43" s="44">
        <f>(1500*6+2000*3+3400*3)/12</f>
        <v>2100</v>
      </c>
      <c r="R43" s="44">
        <v>3400</v>
      </c>
    </row>
    <row r="44" spans="1:18" ht="18" customHeight="1">
      <c r="A44" s="26"/>
      <c r="B44" s="27" t="s">
        <v>17</v>
      </c>
      <c r="C44" s="56"/>
      <c r="D44" s="56">
        <f>D43/C43*100</f>
        <v>132.14285714285714</v>
      </c>
      <c r="E44" s="30">
        <v>100</v>
      </c>
      <c r="F44" s="30">
        <v>100</v>
      </c>
      <c r="G44" s="30">
        <v>100</v>
      </c>
      <c r="H44" s="30">
        <v>107.5</v>
      </c>
      <c r="I44" s="30">
        <f t="shared" ref="I44:R44" si="8">I43/H43*100</f>
        <v>106.9767441860465</v>
      </c>
      <c r="J44" s="30">
        <f t="shared" si="8"/>
        <v>108.69565217391303</v>
      </c>
      <c r="K44" s="30">
        <f t="shared" si="8"/>
        <v>104</v>
      </c>
      <c r="L44" s="30">
        <f t="shared" si="8"/>
        <v>100</v>
      </c>
      <c r="M44" s="30">
        <f t="shared" si="8"/>
        <v>100</v>
      </c>
      <c r="N44" s="30">
        <f t="shared" si="8"/>
        <v>115.93406593406594</v>
      </c>
      <c r="O44" s="30">
        <f t="shared" si="8"/>
        <v>113.74407582938389</v>
      </c>
      <c r="P44" s="30">
        <f t="shared" si="8"/>
        <v>120</v>
      </c>
      <c r="Q44" s="30">
        <f t="shared" si="8"/>
        <v>145.83333333333331</v>
      </c>
      <c r="R44" s="30">
        <f t="shared" si="8"/>
        <v>161.9047619047619</v>
      </c>
    </row>
    <row r="45" spans="1:18" ht="18" customHeight="1">
      <c r="A45" s="26">
        <v>27</v>
      </c>
      <c r="B45" s="27" t="s">
        <v>86</v>
      </c>
      <c r="C45" s="37">
        <v>220</v>
      </c>
      <c r="D45" s="37">
        <v>240</v>
      </c>
      <c r="E45" s="37">
        <v>240</v>
      </c>
      <c r="F45" s="37">
        <v>250</v>
      </c>
      <c r="G45" s="37">
        <v>283.33</v>
      </c>
      <c r="H45" s="37">
        <v>310</v>
      </c>
      <c r="I45" s="37">
        <v>340</v>
      </c>
      <c r="J45" s="37">
        <v>370</v>
      </c>
      <c r="K45" s="37">
        <v>420</v>
      </c>
      <c r="L45" s="37">
        <v>460</v>
      </c>
      <c r="M45" s="37">
        <v>510</v>
      </c>
      <c r="N45" s="37">
        <v>560</v>
      </c>
      <c r="O45" s="37">
        <v>610</v>
      </c>
      <c r="P45" s="37">
        <v>650</v>
      </c>
      <c r="Q45" s="37">
        <f>(3*650+9*710)/12</f>
        <v>695</v>
      </c>
      <c r="R45" s="37">
        <v>780</v>
      </c>
    </row>
    <row r="46" spans="1:18" ht="18" customHeight="1">
      <c r="A46" s="39"/>
      <c r="B46" s="48" t="s">
        <v>18</v>
      </c>
      <c r="C46" s="58"/>
      <c r="D46" s="58">
        <f>D45/C45*100</f>
        <v>109.09090909090908</v>
      </c>
      <c r="E46" s="59">
        <v>100</v>
      </c>
      <c r="F46" s="59">
        <v>104.16666666666667</v>
      </c>
      <c r="G46" s="59">
        <v>113.33199999999999</v>
      </c>
      <c r="H46" s="59">
        <v>109.41305191825788</v>
      </c>
      <c r="I46" s="59">
        <f t="shared" ref="I46:R46" si="9">I45/H45*100</f>
        <v>109.6774193548387</v>
      </c>
      <c r="J46" s="59">
        <f t="shared" si="9"/>
        <v>108.8235294117647</v>
      </c>
      <c r="K46" s="59">
        <f t="shared" si="9"/>
        <v>113.51351351351352</v>
      </c>
      <c r="L46" s="59">
        <f t="shared" si="9"/>
        <v>109.52380952380953</v>
      </c>
      <c r="M46" s="59">
        <f t="shared" si="9"/>
        <v>110.86956521739131</v>
      </c>
      <c r="N46" s="59">
        <f t="shared" si="9"/>
        <v>109.80392156862746</v>
      </c>
      <c r="O46" s="59">
        <f t="shared" si="9"/>
        <v>108.92857142857142</v>
      </c>
      <c r="P46" s="59">
        <f t="shared" si="9"/>
        <v>106.55737704918033</v>
      </c>
      <c r="Q46" s="59">
        <f t="shared" si="9"/>
        <v>106.92307692307692</v>
      </c>
      <c r="R46" s="59">
        <f t="shared" si="9"/>
        <v>112.23021582733811</v>
      </c>
    </row>
    <row r="47" spans="1:18" ht="27.75" customHeight="1">
      <c r="A47" s="13"/>
      <c r="B47" s="14" t="s">
        <v>103</v>
      </c>
      <c r="C47" s="15"/>
      <c r="D47" s="15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8" customHeight="1">
      <c r="A48" s="22">
        <v>28</v>
      </c>
      <c r="B48" s="60" t="s">
        <v>36</v>
      </c>
      <c r="C48" s="61">
        <f>C23/C5*100/1000</f>
        <v>8.8561088247697217</v>
      </c>
      <c r="D48" s="61">
        <f>D23/D5*100/1000</f>
        <v>10.445158661401184</v>
      </c>
      <c r="E48" s="61">
        <f>E23/E5*100/1000</f>
        <v>10.91155841790407</v>
      </c>
      <c r="F48" s="61">
        <v>10.173073385430726</v>
      </c>
      <c r="G48" s="62">
        <v>10.19277089468552</v>
      </c>
      <c r="H48" s="62">
        <v>10.919551030840008</v>
      </c>
      <c r="I48" s="62">
        <f t="shared" ref="I48:Q48" si="10">I23/I5*100/1000</f>
        <v>11.147839639682466</v>
      </c>
      <c r="J48" s="62">
        <f t="shared" si="10"/>
        <v>10.898503980082838</v>
      </c>
      <c r="K48" s="62">
        <f t="shared" si="10"/>
        <v>10.684958206168918</v>
      </c>
      <c r="L48" s="62">
        <f t="shared" si="10"/>
        <v>10.282712717781912</v>
      </c>
      <c r="M48" s="62">
        <f t="shared" si="10"/>
        <v>10.170383747589069</v>
      </c>
      <c r="N48" s="62">
        <f t="shared" si="10"/>
        <v>9.6861318083485948</v>
      </c>
      <c r="O48" s="62">
        <f t="shared" si="10"/>
        <v>11.856093277232986</v>
      </c>
      <c r="P48" s="62">
        <f t="shared" si="10"/>
        <v>12.458335179230177</v>
      </c>
      <c r="Q48" s="62">
        <f t="shared" si="10"/>
        <v>10.791049878047049</v>
      </c>
      <c r="R48" s="62">
        <f t="shared" ref="R48" si="11">R23/R5*100/1000</f>
        <v>11.760698347633571</v>
      </c>
    </row>
    <row r="49" spans="1:18" ht="18" customHeight="1">
      <c r="A49" s="26">
        <f>A48+1</f>
        <v>29</v>
      </c>
      <c r="B49" s="63" t="s">
        <v>19</v>
      </c>
      <c r="C49" s="30">
        <f>C24/C5*100/1000</f>
        <v>7.6836071629579799</v>
      </c>
      <c r="D49" s="30">
        <f>D24/D5*100/1000</f>
        <v>8.8553211188696519</v>
      </c>
      <c r="E49" s="30">
        <f>E24/E5*100/1000</f>
        <v>9.3219368924260237</v>
      </c>
      <c r="F49" s="30">
        <f t="shared" ref="F49:O49" si="12">F24/F5*100/1000</f>
        <v>8.7413629218746163</v>
      </c>
      <c r="G49" s="30">
        <f t="shared" si="12"/>
        <v>8.733147135268565</v>
      </c>
      <c r="H49" s="30">
        <f t="shared" si="12"/>
        <v>9.4174028424495155</v>
      </c>
      <c r="I49" s="30">
        <f t="shared" si="12"/>
        <v>9.6454869123449161</v>
      </c>
      <c r="J49" s="30">
        <f t="shared" si="12"/>
        <v>9.3879325897891057</v>
      </c>
      <c r="K49" s="30">
        <f t="shared" si="12"/>
        <v>9.1311068810370308</v>
      </c>
      <c r="L49" s="30">
        <f t="shared" si="12"/>
        <v>8.7718398371687627</v>
      </c>
      <c r="M49" s="30">
        <f t="shared" si="12"/>
        <v>8.6028335274209411</v>
      </c>
      <c r="N49" s="30">
        <f t="shared" si="12"/>
        <v>8.1937528334348215</v>
      </c>
      <c r="O49" s="30">
        <f t="shared" si="12"/>
        <v>9.2431769051041996</v>
      </c>
      <c r="P49" s="32">
        <f t="shared" ref="P49" si="13">P24/P5*100/1000</f>
        <v>10.252713767679715</v>
      </c>
      <c r="Q49" s="32">
        <f t="shared" ref="Q49:R49" si="14">Q24/Q5*100/1000</f>
        <v>9.3169715784452443</v>
      </c>
      <c r="R49" s="32">
        <f t="shared" si="14"/>
        <v>10.406420305225039</v>
      </c>
    </row>
    <row r="50" spans="1:18" ht="18" customHeight="1">
      <c r="A50" s="26">
        <f t="shared" ref="A50:A52" si="15">A49+1</f>
        <v>30</v>
      </c>
      <c r="B50" s="64" t="s">
        <v>87</v>
      </c>
      <c r="C50" s="65">
        <f t="shared" ref="C50:R50" si="16">C17/C14*100</f>
        <v>77.681682663294083</v>
      </c>
      <c r="D50" s="65">
        <f t="shared" si="16"/>
        <v>77.479301679718731</v>
      </c>
      <c r="E50" s="65">
        <f t="shared" si="16"/>
        <v>77.413464835868467</v>
      </c>
      <c r="F50" s="65">
        <f t="shared" si="16"/>
        <v>76.292755850070321</v>
      </c>
      <c r="G50" s="65">
        <f t="shared" si="16"/>
        <v>80.058410919737327</v>
      </c>
      <c r="H50" s="65">
        <f t="shared" si="16"/>
        <v>80.441937138251888</v>
      </c>
      <c r="I50" s="65">
        <f t="shared" si="16"/>
        <v>79.773873067210303</v>
      </c>
      <c r="J50" s="65">
        <f t="shared" si="16"/>
        <v>79.019966573605927</v>
      </c>
      <c r="K50" s="65">
        <f t="shared" si="16"/>
        <v>78.870927960919133</v>
      </c>
      <c r="L50" s="65">
        <f t="shared" si="16"/>
        <v>78.161643559654934</v>
      </c>
      <c r="M50" s="65">
        <f t="shared" si="16"/>
        <v>77.51788234602617</v>
      </c>
      <c r="N50" s="65">
        <f t="shared" si="16"/>
        <v>76.780555964165004</v>
      </c>
      <c r="O50" s="65">
        <f t="shared" si="16"/>
        <v>78.813573793861281</v>
      </c>
      <c r="P50" s="65">
        <f t="shared" si="16"/>
        <v>75.7218484474039</v>
      </c>
      <c r="Q50" s="65">
        <f t="shared" si="16"/>
        <v>72.883375819406211</v>
      </c>
      <c r="R50" s="65">
        <f t="shared" si="16"/>
        <v>72.350342198118</v>
      </c>
    </row>
    <row r="51" spans="1:18" ht="30" customHeight="1">
      <c r="A51" s="26">
        <f t="shared" si="15"/>
        <v>31</v>
      </c>
      <c r="B51" s="64" t="s">
        <v>88</v>
      </c>
      <c r="C51" s="65">
        <f t="shared" ref="C51:R51" si="17">C35/C31*100</f>
        <v>41.74724308774173</v>
      </c>
      <c r="D51" s="65">
        <f>D35/D31*100</f>
        <v>44.064313782039733</v>
      </c>
      <c r="E51" s="65">
        <f t="shared" si="17"/>
        <v>46.191240159206068</v>
      </c>
      <c r="F51" s="65">
        <f t="shared" si="17"/>
        <v>44.875848679951233</v>
      </c>
      <c r="G51" s="65">
        <f t="shared" si="17"/>
        <v>43.880852991618937</v>
      </c>
      <c r="H51" s="65">
        <f t="shared" si="17"/>
        <v>45.313150309065399</v>
      </c>
      <c r="I51" s="65">
        <f t="shared" si="17"/>
        <v>45.365411069160302</v>
      </c>
      <c r="J51" s="65">
        <f t="shared" si="17"/>
        <v>44.29790748898678</v>
      </c>
      <c r="K51" s="65">
        <f t="shared" si="17"/>
        <v>43.201267417247777</v>
      </c>
      <c r="L51" s="65">
        <f t="shared" si="17"/>
        <v>42.051831383671527</v>
      </c>
      <c r="M51" s="65">
        <f t="shared" si="17"/>
        <v>40.939431396786155</v>
      </c>
      <c r="N51" s="65">
        <f t="shared" si="17"/>
        <v>38.826379596967115</v>
      </c>
      <c r="O51" s="65">
        <f t="shared" si="17"/>
        <v>40.876110331930811</v>
      </c>
      <c r="P51" s="65">
        <f t="shared" si="17"/>
        <v>45.902073979046399</v>
      </c>
      <c r="Q51" s="65">
        <f t="shared" si="17"/>
        <v>51.949632253841116</v>
      </c>
      <c r="R51" s="65">
        <f t="shared" si="17"/>
        <v>54.268617481235516</v>
      </c>
    </row>
    <row r="52" spans="1:18" s="5" customFormat="1" ht="30" customHeight="1">
      <c r="A52" s="39">
        <f t="shared" si="15"/>
        <v>32</v>
      </c>
      <c r="B52" s="67" t="s">
        <v>89</v>
      </c>
      <c r="C52" s="69">
        <f>C35/C20*100</f>
        <v>53.811862706550308</v>
      </c>
      <c r="D52" s="69">
        <f t="shared" ref="D52:R52" si="18">D35/D20*100</f>
        <v>56.276262812311273</v>
      </c>
      <c r="E52" s="69">
        <f t="shared" si="18"/>
        <v>58.388623636968859</v>
      </c>
      <c r="F52" s="69">
        <f t="shared" si="18"/>
        <v>57.246904809224688</v>
      </c>
      <c r="G52" s="69">
        <f t="shared" si="18"/>
        <v>55.977615756625767</v>
      </c>
      <c r="H52" s="69">
        <f t="shared" si="18"/>
        <v>57.804758654248502</v>
      </c>
      <c r="I52" s="69">
        <f t="shared" si="18"/>
        <v>57.871426290547646</v>
      </c>
      <c r="J52" s="69">
        <f t="shared" si="18"/>
        <v>56.509640884024471</v>
      </c>
      <c r="K52" s="69">
        <f t="shared" si="18"/>
        <v>55.110686844301284</v>
      </c>
      <c r="L52" s="69">
        <f t="shared" si="18"/>
        <v>53.916751780485072</v>
      </c>
      <c r="M52" s="69">
        <f t="shared" si="18"/>
        <v>52.758358974182528</v>
      </c>
      <c r="N52" s="69">
        <f t="shared" si="18"/>
        <v>50.035283895161108</v>
      </c>
      <c r="O52" s="69">
        <f t="shared" si="18"/>
        <v>52.676757560672705</v>
      </c>
      <c r="P52" s="69">
        <f t="shared" si="18"/>
        <v>59.153681768919817</v>
      </c>
      <c r="Q52" s="69">
        <f t="shared" si="18"/>
        <v>66.947127830409443</v>
      </c>
      <c r="R52" s="69">
        <f t="shared" si="18"/>
        <v>69.935587877568381</v>
      </c>
    </row>
    <row r="53" spans="1:18">
      <c r="B53" s="83" t="s">
        <v>102</v>
      </c>
      <c r="C53" s="11"/>
      <c r="D53" s="12"/>
      <c r="E53" s="12"/>
    </row>
    <row r="54" spans="1:18">
      <c r="B54" s="84" t="s">
        <v>53</v>
      </c>
    </row>
    <row r="55" spans="1:18">
      <c r="B55" s="2" t="s">
        <v>63</v>
      </c>
    </row>
    <row r="56" spans="1:18">
      <c r="B56" s="2" t="s">
        <v>64</v>
      </c>
    </row>
    <row r="57" spans="1:18">
      <c r="B57" s="2" t="s">
        <v>56</v>
      </c>
    </row>
  </sheetData>
  <mergeCells count="1">
    <mergeCell ref="B1:R1"/>
  </mergeCells>
  <phoneticPr fontId="7" type="noConversion"/>
  <printOptions horizontalCentered="1"/>
  <pageMargins left="0.70866141732283461" right="0.70866141732283461" top="0.74803149606299213" bottom="0.74803149606299213" header="0.31496062992125984" footer="0.31496062992125984"/>
  <pageSetup paperSize="9" scale="52" orientation="portrait" r:id="rId1"/>
  <headerFooter alignWithMargins="0">
    <oddHeader>&amp;R&amp;"Times New Roman,Regular"&amp;12класификация на информация
ниво 0, TLP-WHITE</oddHeader>
    <oddFooter>&amp;C&amp;"Arial Cyr,Regular"Страница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R57"/>
  <sheetViews>
    <sheetView tabSelected="1" topLeftCell="A36" zoomScaleNormal="100" workbookViewId="0">
      <selection activeCell="B54" sqref="B54"/>
    </sheetView>
  </sheetViews>
  <sheetFormatPr defaultColWidth="12.5703125" defaultRowHeight="12.75"/>
  <cols>
    <col min="1" max="1" width="4.140625" style="74" customWidth="1"/>
    <col min="2" max="2" width="52.85546875" style="2" customWidth="1"/>
    <col min="3" max="3" width="13.28515625" style="9" customWidth="1"/>
    <col min="4" max="4" width="12.28515625" style="10" customWidth="1"/>
    <col min="5" max="5" width="13.7109375" style="10" customWidth="1"/>
    <col min="6" max="6" width="10.7109375" style="1" bestFit="1" customWidth="1"/>
    <col min="7" max="8" width="10.7109375" style="1" customWidth="1"/>
    <col min="9" max="10" width="10.7109375" style="1" bestFit="1" customWidth="1"/>
    <col min="11" max="11" width="11.7109375" style="1" bestFit="1" customWidth="1"/>
    <col min="12" max="14" width="11.7109375" style="2" bestFit="1" customWidth="1"/>
    <col min="15" max="16" width="11.7109375" style="1" bestFit="1" customWidth="1"/>
    <col min="17" max="18" width="11.7109375" style="1" customWidth="1"/>
    <col min="19" max="16384" width="12.5703125" style="1"/>
  </cols>
  <sheetData>
    <row r="1" spans="1:18" ht="18" customHeight="1">
      <c r="B1" s="82" t="s">
        <v>55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8" customHeight="1">
      <c r="G2" s="3"/>
      <c r="H2" s="3"/>
      <c r="I2" s="3"/>
      <c r="J2" s="3"/>
      <c r="K2" s="3"/>
      <c r="L2" s="4"/>
      <c r="M2" s="4"/>
    </row>
    <row r="3" spans="1:18" s="5" customFormat="1" ht="34.5" customHeight="1">
      <c r="A3" s="75"/>
      <c r="B3" s="19" t="s">
        <v>6</v>
      </c>
      <c r="C3" s="20" t="s">
        <v>0</v>
      </c>
      <c r="D3" s="20" t="s">
        <v>1</v>
      </c>
      <c r="E3" s="20" t="s">
        <v>2</v>
      </c>
      <c r="F3" s="20" t="s">
        <v>3</v>
      </c>
      <c r="G3" s="21" t="s">
        <v>4</v>
      </c>
      <c r="H3" s="21">
        <v>2013</v>
      </c>
      <c r="I3" s="21">
        <v>2014</v>
      </c>
      <c r="J3" s="21">
        <v>2015</v>
      </c>
      <c r="K3" s="21">
        <v>2016</v>
      </c>
      <c r="L3" s="21">
        <v>2017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</row>
    <row r="4" spans="1:18" ht="27.75" customHeight="1">
      <c r="A4" s="76"/>
      <c r="B4" s="14" t="s">
        <v>7</v>
      </c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5" customFormat="1" ht="18" customHeight="1">
      <c r="A5" s="77">
        <v>1</v>
      </c>
      <c r="B5" s="23" t="s">
        <v>21</v>
      </c>
      <c r="C5" s="24">
        <v>72847</v>
      </c>
      <c r="D5" s="24">
        <v>73181</v>
      </c>
      <c r="E5" s="24">
        <v>74888</v>
      </c>
      <c r="F5" s="24">
        <v>81126</v>
      </c>
      <c r="G5" s="25">
        <v>82643</v>
      </c>
      <c r="H5" s="25">
        <v>82253</v>
      </c>
      <c r="I5" s="25">
        <v>84148</v>
      </c>
      <c r="J5" s="25">
        <v>89571</v>
      </c>
      <c r="K5" s="25">
        <v>95349</v>
      </c>
      <c r="L5" s="25">
        <v>102683</v>
      </c>
      <c r="M5" s="25">
        <v>109916</v>
      </c>
      <c r="N5" s="25">
        <v>120342.01300000001</v>
      </c>
      <c r="O5" s="25">
        <v>120492.425</v>
      </c>
      <c r="P5" s="25">
        <v>138979.41699999999</v>
      </c>
      <c r="Q5" s="25">
        <v>167808.976</v>
      </c>
      <c r="R5" s="25">
        <v>183743.44500000001</v>
      </c>
    </row>
    <row r="6" spans="1:18" s="5" customFormat="1" ht="18" customHeight="1">
      <c r="A6" s="72">
        <v>2</v>
      </c>
      <c r="B6" s="27" t="s">
        <v>45</v>
      </c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5" customHeight="1">
      <c r="A7" s="72"/>
      <c r="B7" s="79" t="s">
        <v>99</v>
      </c>
      <c r="C7" s="30">
        <v>12</v>
      </c>
      <c r="D7" s="31">
        <v>2.5</v>
      </c>
      <c r="E7" s="31">
        <v>3</v>
      </c>
      <c r="F7" s="31">
        <v>3.4</v>
      </c>
      <c r="G7" s="29">
        <v>2.4</v>
      </c>
      <c r="H7" s="29">
        <v>0.4</v>
      </c>
      <c r="I7" s="29">
        <v>-1.6</v>
      </c>
      <c r="J7" s="29">
        <v>-1.1000000000000001</v>
      </c>
      <c r="K7" s="29">
        <v>-1.3</v>
      </c>
      <c r="L7" s="29">
        <v>1.2</v>
      </c>
      <c r="M7" s="29">
        <v>2.6</v>
      </c>
      <c r="N7" s="29">
        <v>2.5</v>
      </c>
      <c r="O7" s="29">
        <v>1.2</v>
      </c>
      <c r="P7" s="29">
        <v>2.8</v>
      </c>
      <c r="Q7" s="32">
        <v>13</v>
      </c>
      <c r="R7" s="32">
        <v>8.6</v>
      </c>
    </row>
    <row r="8" spans="1:18" ht="15" customHeight="1">
      <c r="A8" s="72"/>
      <c r="B8" s="80" t="s">
        <v>98</v>
      </c>
      <c r="C8" s="31">
        <v>7.2</v>
      </c>
      <c r="D8" s="31">
        <v>1.6</v>
      </c>
      <c r="E8" s="31">
        <v>4.4000000000000004</v>
      </c>
      <c r="F8" s="31">
        <v>2</v>
      </c>
      <c r="G8" s="31">
        <v>2.8</v>
      </c>
      <c r="H8" s="31">
        <v>-0.9</v>
      </c>
      <c r="I8" s="31">
        <v>-2</v>
      </c>
      <c r="J8" s="31">
        <v>-0.9</v>
      </c>
      <c r="K8" s="31">
        <v>-0.5</v>
      </c>
      <c r="L8" s="31">
        <v>1.8</v>
      </c>
      <c r="M8" s="31">
        <v>2.2999999999999998</v>
      </c>
      <c r="N8" s="31">
        <v>3.1</v>
      </c>
      <c r="O8" s="31">
        <v>0</v>
      </c>
      <c r="P8" s="31">
        <v>6.6</v>
      </c>
      <c r="Q8" s="31">
        <v>14.3</v>
      </c>
      <c r="R8" s="31">
        <v>5</v>
      </c>
    </row>
    <row r="9" spans="1:18" ht="18" customHeight="1">
      <c r="A9" s="72">
        <v>3</v>
      </c>
      <c r="B9" s="33" t="s">
        <v>13</v>
      </c>
      <c r="C9" s="34">
        <v>544.83333333333337</v>
      </c>
      <c r="D9" s="34">
        <v>609.08333333333337</v>
      </c>
      <c r="E9" s="34">
        <v>648.08333333333337</v>
      </c>
      <c r="F9" s="34">
        <v>685.83333333333337</v>
      </c>
      <c r="G9" s="35">
        <v>731.08333333333337</v>
      </c>
      <c r="H9" s="36">
        <v>775.08333333333337</v>
      </c>
      <c r="I9" s="36">
        <v>821.66666666666663</v>
      </c>
      <c r="J9" s="36">
        <v>877.91666666666663</v>
      </c>
      <c r="K9" s="36">
        <v>948.25</v>
      </c>
      <c r="L9" s="36">
        <v>1037.3333333333333</v>
      </c>
      <c r="M9" s="36">
        <v>1146.25</v>
      </c>
      <c r="N9" s="36">
        <v>1267.4166666666667</v>
      </c>
      <c r="O9" s="36">
        <v>1390.5833333333333</v>
      </c>
      <c r="P9" s="36">
        <v>1561.0833333333333</v>
      </c>
      <c r="Q9" s="36">
        <v>1770.1666666666667</v>
      </c>
      <c r="R9" s="36">
        <v>2012.25</v>
      </c>
    </row>
    <row r="10" spans="1:18" ht="30" customHeight="1">
      <c r="A10" s="72">
        <v>4</v>
      </c>
      <c r="B10" s="27" t="s">
        <v>40</v>
      </c>
      <c r="C10" s="36">
        <v>233718.5</v>
      </c>
      <c r="D10" s="36">
        <v>280980</v>
      </c>
      <c r="E10" s="36">
        <v>350944</v>
      </c>
      <c r="F10" s="36">
        <v>332600.5</v>
      </c>
      <c r="G10" s="36">
        <v>364537.25</v>
      </c>
      <c r="H10" s="36">
        <v>371379.66666666669</v>
      </c>
      <c r="I10" s="36">
        <v>366471</v>
      </c>
      <c r="J10" s="36">
        <v>330816</v>
      </c>
      <c r="K10" s="36">
        <v>284707</v>
      </c>
      <c r="L10" s="36">
        <v>236752</v>
      </c>
      <c r="M10" s="36">
        <v>202994</v>
      </c>
      <c r="N10" s="36">
        <v>185266</v>
      </c>
      <c r="O10" s="36">
        <v>233160</v>
      </c>
      <c r="P10" s="36">
        <v>181486</v>
      </c>
      <c r="Q10" s="36">
        <v>147804</v>
      </c>
      <c r="R10" s="36">
        <v>151497</v>
      </c>
    </row>
    <row r="11" spans="1:18" ht="24" customHeight="1">
      <c r="A11" s="72">
        <v>5</v>
      </c>
      <c r="B11" s="27" t="s">
        <v>39</v>
      </c>
      <c r="C11" s="37">
        <v>6.31</v>
      </c>
      <c r="D11" s="37">
        <v>7.59</v>
      </c>
      <c r="E11" s="38">
        <v>9.4700000000000006</v>
      </c>
      <c r="F11" s="38">
        <v>10.1</v>
      </c>
      <c r="G11" s="38">
        <v>11.1</v>
      </c>
      <c r="H11" s="38">
        <v>11.3</v>
      </c>
      <c r="I11" s="38">
        <v>11.2</v>
      </c>
      <c r="J11" s="38">
        <v>10.1</v>
      </c>
      <c r="K11" s="38">
        <v>8.6999999999999993</v>
      </c>
      <c r="L11" s="38">
        <v>7.2</v>
      </c>
      <c r="M11" s="38">
        <v>6.2</v>
      </c>
      <c r="N11" s="38">
        <v>5.6</v>
      </c>
      <c r="O11" s="38">
        <v>7.4</v>
      </c>
      <c r="P11" s="38">
        <v>5.5</v>
      </c>
      <c r="Q11" s="38">
        <v>5.2</v>
      </c>
      <c r="R11" s="38">
        <v>5.3</v>
      </c>
    </row>
    <row r="12" spans="1:18" s="6" customFormat="1" ht="30" customHeight="1">
      <c r="A12" s="73">
        <v>6</v>
      </c>
      <c r="B12" s="40" t="s">
        <v>30</v>
      </c>
      <c r="C12" s="41">
        <v>67473</v>
      </c>
      <c r="D12" s="41">
        <v>121034</v>
      </c>
      <c r="E12" s="41">
        <v>131500</v>
      </c>
      <c r="F12" s="41">
        <v>106698</v>
      </c>
      <c r="G12" s="41">
        <v>117688</v>
      </c>
      <c r="H12" s="41">
        <v>116804</v>
      </c>
      <c r="I12" s="41">
        <v>107312</v>
      </c>
      <c r="J12" s="41">
        <v>92249</v>
      </c>
      <c r="K12" s="41">
        <v>91979</v>
      </c>
      <c r="L12" s="41">
        <v>82684</v>
      </c>
      <c r="M12" s="41">
        <v>76535.166666666672</v>
      </c>
      <c r="N12" s="41">
        <v>69845.166666666672</v>
      </c>
      <c r="O12" s="41">
        <v>109019</v>
      </c>
      <c r="P12" s="41">
        <v>82774</v>
      </c>
      <c r="Q12" s="41">
        <v>65010</v>
      </c>
      <c r="R12" s="41">
        <v>66123</v>
      </c>
    </row>
    <row r="13" spans="1:18" ht="27.75" customHeight="1">
      <c r="A13" s="76"/>
      <c r="B13" s="14" t="s">
        <v>8</v>
      </c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8" customHeight="1">
      <c r="A14" s="77">
        <v>7</v>
      </c>
      <c r="B14" s="42" t="s">
        <v>31</v>
      </c>
      <c r="C14" s="24">
        <v>2851226</v>
      </c>
      <c r="D14" s="24">
        <v>2829819</v>
      </c>
      <c r="E14" s="24">
        <v>2831479</v>
      </c>
      <c r="F14" s="24">
        <v>2883085</v>
      </c>
      <c r="G14" s="24">
        <v>2770030</v>
      </c>
      <c r="H14" s="24">
        <v>2729800</v>
      </c>
      <c r="I14" s="24">
        <v>2735101</v>
      </c>
      <c r="J14" s="24">
        <v>2755906</v>
      </c>
      <c r="K14" s="24">
        <v>2765138</v>
      </c>
      <c r="L14" s="24">
        <v>2779820</v>
      </c>
      <c r="M14" s="24">
        <v>2790182</v>
      </c>
      <c r="N14" s="24">
        <v>2794029</v>
      </c>
      <c r="O14" s="24">
        <v>2693720</v>
      </c>
      <c r="P14" s="24">
        <v>2747495</v>
      </c>
      <c r="Q14" s="24">
        <v>2794249</v>
      </c>
      <c r="R14" s="24">
        <v>2807438</v>
      </c>
    </row>
    <row r="15" spans="1:18" ht="18" customHeight="1">
      <c r="A15" s="72"/>
      <c r="B15" s="80" t="s">
        <v>101</v>
      </c>
      <c r="C15" s="36">
        <v>260305</v>
      </c>
      <c r="D15" s="36">
        <v>186115</v>
      </c>
      <c r="E15" s="36">
        <v>186115</v>
      </c>
      <c r="F15" s="36">
        <v>183109</v>
      </c>
      <c r="G15" s="36">
        <v>206264</v>
      </c>
      <c r="H15" s="36">
        <v>198656</v>
      </c>
      <c r="I15" s="36">
        <v>200276</v>
      </c>
      <c r="J15" s="36">
        <v>207464</v>
      </c>
      <c r="K15" s="36">
        <v>212233</v>
      </c>
      <c r="L15" s="36">
        <v>204987</v>
      </c>
      <c r="M15" s="36">
        <v>207874</v>
      </c>
      <c r="N15" s="36">
        <v>215642</v>
      </c>
      <c r="O15" s="36">
        <v>206016</v>
      </c>
      <c r="P15" s="36">
        <v>213300</v>
      </c>
      <c r="Q15" s="36">
        <v>219758</v>
      </c>
      <c r="R15" s="36">
        <v>221948</v>
      </c>
    </row>
    <row r="16" spans="1:18" ht="18" customHeight="1">
      <c r="A16" s="72"/>
      <c r="B16" s="80" t="s">
        <v>100</v>
      </c>
      <c r="C16" s="36">
        <v>43902</v>
      </c>
      <c r="D16" s="36">
        <v>35850</v>
      </c>
      <c r="E16" s="36">
        <v>35850</v>
      </c>
      <c r="F16" s="36">
        <v>32100</v>
      </c>
      <c r="G16" s="36">
        <v>30496</v>
      </c>
      <c r="H16" s="36">
        <v>33575</v>
      </c>
      <c r="I16" s="36">
        <v>33017</v>
      </c>
      <c r="J16" s="36">
        <v>34315</v>
      </c>
      <c r="K16" s="36">
        <v>37701</v>
      </c>
      <c r="L16" s="36">
        <v>46016</v>
      </c>
      <c r="M16" s="36">
        <v>44073</v>
      </c>
      <c r="N16" s="36">
        <v>30776</v>
      </c>
      <c r="O16" s="36">
        <v>27287</v>
      </c>
      <c r="P16" s="36">
        <v>26711</v>
      </c>
      <c r="Q16" s="36">
        <v>26657</v>
      </c>
      <c r="R16" s="36">
        <v>23877</v>
      </c>
    </row>
    <row r="17" spans="1:18" ht="18" customHeight="1">
      <c r="A17" s="72">
        <v>8</v>
      </c>
      <c r="B17" s="27" t="s">
        <v>32</v>
      </c>
      <c r="C17" s="36">
        <v>2214880.3333333335</v>
      </c>
      <c r="D17" s="36">
        <v>2192524</v>
      </c>
      <c r="E17" s="36">
        <v>2191946</v>
      </c>
      <c r="F17" s="36">
        <v>2199585</v>
      </c>
      <c r="G17" s="43">
        <v>2217642</v>
      </c>
      <c r="H17" s="43">
        <v>2195904</v>
      </c>
      <c r="I17" s="43">
        <v>2181896</v>
      </c>
      <c r="J17" s="43">
        <v>2177716</v>
      </c>
      <c r="K17" s="43">
        <v>2180890</v>
      </c>
      <c r="L17" s="43">
        <v>2172753</v>
      </c>
      <c r="M17" s="43">
        <v>2162890</v>
      </c>
      <c r="N17" s="43">
        <v>2145271</v>
      </c>
      <c r="O17" s="43">
        <v>2123017</v>
      </c>
      <c r="P17" s="43">
        <v>2080454</v>
      </c>
      <c r="Q17" s="43">
        <v>2036543</v>
      </c>
      <c r="R17" s="43">
        <v>2031191</v>
      </c>
    </row>
    <row r="18" spans="1:18" ht="18" customHeight="1">
      <c r="A18" s="72">
        <v>9</v>
      </c>
      <c r="B18" s="27" t="s">
        <v>33</v>
      </c>
      <c r="C18" s="36">
        <v>2686860</v>
      </c>
      <c r="D18" s="36">
        <v>2664909</v>
      </c>
      <c r="E18" s="36">
        <v>2666614</v>
      </c>
      <c r="F18" s="36">
        <v>2675525</v>
      </c>
      <c r="G18" s="43">
        <v>2696906</v>
      </c>
      <c r="H18" s="43">
        <v>2677598</v>
      </c>
      <c r="I18" s="43">
        <v>2669061</v>
      </c>
      <c r="J18" s="43">
        <v>2658461</v>
      </c>
      <c r="K18" s="43">
        <v>2625152</v>
      </c>
      <c r="L18" s="43">
        <v>2577223</v>
      </c>
      <c r="M18" s="43">
        <v>2532369</v>
      </c>
      <c r="N18" s="43">
        <v>2162013</v>
      </c>
      <c r="O18" s="43">
        <v>2138389</v>
      </c>
      <c r="P18" s="43">
        <v>2094528</v>
      </c>
      <c r="Q18" s="43">
        <v>2049318</v>
      </c>
      <c r="R18" s="43">
        <v>2043117</v>
      </c>
    </row>
    <row r="19" spans="1:18" ht="18" customHeight="1">
      <c r="A19" s="72">
        <v>10</v>
      </c>
      <c r="B19" s="33" t="s">
        <v>28</v>
      </c>
      <c r="C19" s="44">
        <v>500.56</v>
      </c>
      <c r="D19" s="44">
        <v>554.78</v>
      </c>
      <c r="E19" s="44">
        <v>570.33000000000004</v>
      </c>
      <c r="F19" s="44">
        <v>594.15032326535106</v>
      </c>
      <c r="G19" s="37">
        <v>618.05999999999995</v>
      </c>
      <c r="H19" s="44">
        <v>648.73</v>
      </c>
      <c r="I19" s="44">
        <v>683.34</v>
      </c>
      <c r="J19" s="44">
        <v>726.4</v>
      </c>
      <c r="K19" s="44">
        <v>770.07</v>
      </c>
      <c r="L19" s="44">
        <v>821.51</v>
      </c>
      <c r="M19" s="44">
        <v>889.9</v>
      </c>
      <c r="N19" s="44">
        <v>986.52</v>
      </c>
      <c r="O19" s="45">
        <v>1069.5</v>
      </c>
      <c r="P19" s="45">
        <v>1169.25</v>
      </c>
      <c r="Q19" s="45">
        <v>1298.45</v>
      </c>
      <c r="R19" s="45">
        <v>1445.55</v>
      </c>
    </row>
    <row r="20" spans="1:18" ht="18" hidden="1" customHeight="1">
      <c r="A20" s="72"/>
      <c r="B20" s="33" t="s">
        <v>27</v>
      </c>
      <c r="C20" s="44">
        <v>388.33444800000001</v>
      </c>
      <c r="D20" s="44">
        <v>434.39274</v>
      </c>
      <c r="E20" s="44">
        <v>451.18806300000006</v>
      </c>
      <c r="F20" s="44">
        <v>465.75443840770868</v>
      </c>
      <c r="G20" s="44">
        <v>484.49723399999999</v>
      </c>
      <c r="H20" s="44">
        <v>508.539447</v>
      </c>
      <c r="I20" s="44">
        <v>535.67022600000007</v>
      </c>
      <c r="J20" s="44">
        <v>569.42495999999994</v>
      </c>
      <c r="K20" s="46">
        <v>603.65787300000011</v>
      </c>
      <c r="L20" s="46">
        <v>640.72850940000001</v>
      </c>
      <c r="M20" s="46">
        <v>690.54460199999994</v>
      </c>
      <c r="N20" s="46">
        <v>765.51978959999997</v>
      </c>
      <c r="O20" s="46">
        <v>829.91061000000002</v>
      </c>
      <c r="P20" s="46">
        <v>907.314615</v>
      </c>
      <c r="Q20" s="46">
        <v>1007.571231</v>
      </c>
      <c r="R20" s="46">
        <v>1121.717889</v>
      </c>
    </row>
    <row r="21" spans="1:18" ht="30" customHeight="1">
      <c r="A21" s="72">
        <v>11</v>
      </c>
      <c r="B21" s="27" t="s">
        <v>29</v>
      </c>
      <c r="C21" s="38">
        <v>4197954.5889999997</v>
      </c>
      <c r="D21" s="38">
        <v>3708033.834999999</v>
      </c>
      <c r="E21" s="38">
        <v>3304028.1739999996</v>
      </c>
      <c r="F21" s="38">
        <v>3807237.2521299999</v>
      </c>
      <c r="G21" s="38">
        <v>3832294.4448099998</v>
      </c>
      <c r="H21" s="38">
        <v>4220170.18</v>
      </c>
      <c r="I21" s="38">
        <v>4483134.6000000006</v>
      </c>
      <c r="J21" s="38">
        <v>4798107.4000000004</v>
      </c>
      <c r="K21" s="38">
        <v>5064900.7</v>
      </c>
      <c r="L21" s="38">
        <v>5914007.2999999998</v>
      </c>
      <c r="M21" s="38">
        <v>6772399.7999999998</v>
      </c>
      <c r="N21" s="38">
        <v>7559866.2999999998</v>
      </c>
      <c r="O21" s="38">
        <v>7882663.2000000002</v>
      </c>
      <c r="P21" s="38">
        <v>8756011.6999999993</v>
      </c>
      <c r="Q21" s="38">
        <v>9841317.0999999996</v>
      </c>
      <c r="R21" s="38">
        <v>11204812.4</v>
      </c>
    </row>
    <row r="22" spans="1:18" ht="30" customHeight="1">
      <c r="A22" s="72">
        <v>12</v>
      </c>
      <c r="B22" s="27" t="s">
        <v>22</v>
      </c>
      <c r="C22" s="38">
        <v>2683284</v>
      </c>
      <c r="D22" s="38">
        <v>3884670.2139999997</v>
      </c>
      <c r="E22" s="38">
        <v>4827496.5932900002</v>
      </c>
      <c r="F22" s="38">
        <v>4417497.5846699998</v>
      </c>
      <c r="G22" s="38">
        <v>4519978.7589999996</v>
      </c>
      <c r="H22" s="38">
        <v>4708289.4620000003</v>
      </c>
      <c r="I22" s="38">
        <v>4882939</v>
      </c>
      <c r="J22" s="38">
        <v>4924425.3</v>
      </c>
      <c r="K22" s="38">
        <v>4953632.0999999996</v>
      </c>
      <c r="L22" s="38">
        <v>4557449.3</v>
      </c>
      <c r="M22" s="38">
        <v>4292306.0999999996</v>
      </c>
      <c r="N22" s="38">
        <v>3931563.4</v>
      </c>
      <c r="O22" s="38">
        <v>6247090.0999999996</v>
      </c>
      <c r="P22" s="38">
        <v>8221985.9000000004</v>
      </c>
      <c r="Q22" s="38">
        <v>8054317</v>
      </c>
      <c r="R22" s="38">
        <v>10251405.5</v>
      </c>
    </row>
    <row r="23" spans="1:18" ht="18" customHeight="1">
      <c r="A23" s="72">
        <f>A22+1</f>
        <v>13</v>
      </c>
      <c r="B23" s="27" t="s">
        <v>23</v>
      </c>
      <c r="C23" s="38">
        <v>6451409.5955799995</v>
      </c>
      <c r="D23" s="38">
        <v>7643871.5599999996</v>
      </c>
      <c r="E23" s="38">
        <v>8171447.8680000007</v>
      </c>
      <c r="F23" s="38">
        <v>8216247.8270000005</v>
      </c>
      <c r="G23" s="38">
        <v>8362149.2420000006</v>
      </c>
      <c r="H23" s="38">
        <v>8972158.3000000007</v>
      </c>
      <c r="I23" s="38">
        <v>9380684.1000000015</v>
      </c>
      <c r="J23" s="38">
        <v>9761899</v>
      </c>
      <c r="K23" s="38">
        <v>10188000.800000001</v>
      </c>
      <c r="L23" s="38">
        <v>10558597.9</v>
      </c>
      <c r="M23" s="38">
        <v>11178879</v>
      </c>
      <c r="N23" s="38">
        <v>11656486</v>
      </c>
      <c r="O23" s="38">
        <v>14285694.300000001</v>
      </c>
      <c r="P23" s="38">
        <v>17314521.600000001</v>
      </c>
      <c r="Q23" s="38">
        <v>18108350.300000001</v>
      </c>
      <c r="R23" s="38">
        <v>21609512.300000001</v>
      </c>
    </row>
    <row r="24" spans="1:18" ht="18" customHeight="1">
      <c r="A24" s="72">
        <f t="shared" ref="A24:A28" si="0">A23+1</f>
        <v>14</v>
      </c>
      <c r="B24" s="27" t="s">
        <v>20</v>
      </c>
      <c r="C24" s="38">
        <v>5597277.3099999996</v>
      </c>
      <c r="D24" s="38">
        <v>6480412.5480000004</v>
      </c>
      <c r="E24" s="38">
        <v>6981012.1000000006</v>
      </c>
      <c r="F24" s="38">
        <v>7091518.0839999998</v>
      </c>
      <c r="G24" s="38">
        <v>7217334.7870000005</v>
      </c>
      <c r="H24" s="38">
        <v>7746096.3599999994</v>
      </c>
      <c r="I24" s="38">
        <v>8116484.3269999996</v>
      </c>
      <c r="J24" s="38">
        <v>8408865.0999999996</v>
      </c>
      <c r="K24" s="38">
        <v>8706419.0999999996</v>
      </c>
      <c r="L24" s="38">
        <v>9007188.3000000007</v>
      </c>
      <c r="M24" s="38">
        <v>9455890.5</v>
      </c>
      <c r="N24" s="38">
        <v>9860527.0999999996</v>
      </c>
      <c r="O24" s="38">
        <v>11137328</v>
      </c>
      <c r="P24" s="38">
        <v>14249161.821</v>
      </c>
      <c r="Q24" s="38">
        <v>15634714.6</v>
      </c>
      <c r="R24" s="38">
        <v>19121115.170000002</v>
      </c>
    </row>
    <row r="25" spans="1:18" ht="25.5" customHeight="1">
      <c r="A25" s="72">
        <f t="shared" si="0"/>
        <v>15</v>
      </c>
      <c r="B25" s="47" t="s">
        <v>37</v>
      </c>
      <c r="C25" s="38">
        <v>100432.3</v>
      </c>
      <c r="D25" s="38">
        <v>239100.48826000001</v>
      </c>
      <c r="E25" s="38">
        <v>311362.47788999998</v>
      </c>
      <c r="F25" s="38">
        <v>320445.77211999998</v>
      </c>
      <c r="G25" s="38">
        <v>354885.24822000001</v>
      </c>
      <c r="H25" s="38">
        <v>351727.82283999998</v>
      </c>
      <c r="I25" s="38">
        <v>340176.35200000001</v>
      </c>
      <c r="J25" s="38">
        <v>338982.7</v>
      </c>
      <c r="K25" s="38">
        <v>389971.96899999998</v>
      </c>
      <c r="L25" s="38">
        <v>394081.1</v>
      </c>
      <c r="M25" s="38">
        <v>431362.7</v>
      </c>
      <c r="N25" s="38">
        <v>424517.7</v>
      </c>
      <c r="O25" s="38">
        <v>658598.40000000002</v>
      </c>
      <c r="P25" s="38">
        <v>528860.80000000005</v>
      </c>
      <c r="Q25" s="38">
        <v>412586.2</v>
      </c>
      <c r="R25" s="38">
        <v>479050.21799999999</v>
      </c>
    </row>
    <row r="26" spans="1:18" ht="49.5" customHeight="1">
      <c r="A26" s="72">
        <f t="shared" si="0"/>
        <v>16</v>
      </c>
      <c r="B26" s="27" t="s">
        <v>38</v>
      </c>
      <c r="C26" s="38">
        <v>277854</v>
      </c>
      <c r="D26" s="38">
        <v>347650.09547</v>
      </c>
      <c r="E26" s="38">
        <v>306361.549</v>
      </c>
      <c r="F26" s="38">
        <v>256296.35191</v>
      </c>
      <c r="G26" s="38">
        <v>281591.59999999998</v>
      </c>
      <c r="H26" s="38">
        <v>329580.5</v>
      </c>
      <c r="I26" s="38">
        <v>352227.22</v>
      </c>
      <c r="J26" s="38">
        <v>403085.19999999995</v>
      </c>
      <c r="K26" s="38">
        <v>454127.16499999998</v>
      </c>
      <c r="L26" s="38">
        <v>508820.8</v>
      </c>
      <c r="M26" s="38">
        <v>556957.80000000005</v>
      </c>
      <c r="N26" s="38">
        <v>596735.1</v>
      </c>
      <c r="O26" s="38">
        <v>671985.2</v>
      </c>
      <c r="P26" s="38" t="s">
        <v>51</v>
      </c>
      <c r="Q26" s="38">
        <v>864099.8</v>
      </c>
      <c r="R26" s="38">
        <v>878736.56</v>
      </c>
    </row>
    <row r="27" spans="1:18" ht="30" customHeight="1">
      <c r="A27" s="72">
        <f t="shared" si="0"/>
        <v>17</v>
      </c>
      <c r="B27" s="27" t="s">
        <v>24</v>
      </c>
      <c r="C27" s="38">
        <v>197807.7</v>
      </c>
      <c r="D27" s="38">
        <v>300904.44163999998</v>
      </c>
      <c r="E27" s="38">
        <v>315394.59999999998</v>
      </c>
      <c r="F27" s="38">
        <v>299739.31238999998</v>
      </c>
      <c r="G27" s="38">
        <v>270345.69384999998</v>
      </c>
      <c r="H27" s="38">
        <v>286012.7</v>
      </c>
      <c r="I27" s="38">
        <v>297534.97499999998</v>
      </c>
      <c r="J27" s="38">
        <v>331379</v>
      </c>
      <c r="K27" s="38">
        <v>355066.3</v>
      </c>
      <c r="L27" s="38">
        <v>385566.8</v>
      </c>
      <c r="M27" s="38">
        <v>416204.9</v>
      </c>
      <c r="N27" s="38">
        <v>446899.1</v>
      </c>
      <c r="O27" s="38">
        <v>492614.8</v>
      </c>
      <c r="P27" s="38" t="s">
        <v>52</v>
      </c>
      <c r="Q27" s="38">
        <v>554859.1</v>
      </c>
      <c r="R27" s="38">
        <v>597134.59</v>
      </c>
    </row>
    <row r="28" spans="1:18" ht="45" customHeight="1">
      <c r="A28" s="72">
        <f t="shared" si="0"/>
        <v>18</v>
      </c>
      <c r="B28" s="27" t="s">
        <v>61</v>
      </c>
      <c r="C28" s="38">
        <v>129011.50356999999</v>
      </c>
      <c r="D28" s="38">
        <v>127587.47921</v>
      </c>
      <c r="E28" s="38">
        <v>125724</v>
      </c>
      <c r="F28" s="38">
        <v>118875.16115</v>
      </c>
      <c r="G28" s="38">
        <v>109096.55491000001</v>
      </c>
      <c r="H28" s="38">
        <v>128302.8</v>
      </c>
      <c r="I28" s="38">
        <v>144584.20000000001</v>
      </c>
      <c r="J28" s="38">
        <v>153180.5</v>
      </c>
      <c r="K28" s="38">
        <v>156936.80000000002</v>
      </c>
      <c r="L28" s="38">
        <v>156762.1</v>
      </c>
      <c r="M28" s="38">
        <v>178239.7</v>
      </c>
      <c r="N28" s="38">
        <v>176734.4</v>
      </c>
      <c r="O28" s="38">
        <v>169785.2</v>
      </c>
      <c r="P28" s="38">
        <v>194121.60000000001</v>
      </c>
      <c r="Q28" s="38">
        <v>295303.90000000002</v>
      </c>
      <c r="R28" s="38">
        <v>329555.7</v>
      </c>
    </row>
    <row r="29" spans="1:18" ht="45" customHeight="1">
      <c r="A29" s="73">
        <v>19</v>
      </c>
      <c r="B29" s="48" t="s">
        <v>93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>
        <v>1108.8</v>
      </c>
      <c r="R29" s="49">
        <v>4343.7290000000003</v>
      </c>
    </row>
    <row r="30" spans="1:18" ht="27.75" customHeight="1">
      <c r="A30" s="76"/>
      <c r="B30" s="14" t="s">
        <v>11</v>
      </c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30" customHeight="1">
      <c r="A31" s="77">
        <v>20</v>
      </c>
      <c r="B31" s="50" t="s">
        <v>25</v>
      </c>
      <c r="C31" s="51">
        <v>500.56</v>
      </c>
      <c r="D31" s="51">
        <v>554.78</v>
      </c>
      <c r="E31" s="52">
        <v>570.33000000000004</v>
      </c>
      <c r="F31" s="52">
        <v>594.15032326535106</v>
      </c>
      <c r="G31" s="53">
        <v>618.05999999999995</v>
      </c>
      <c r="H31" s="53">
        <v>648.73</v>
      </c>
      <c r="I31" s="53">
        <v>683.34</v>
      </c>
      <c r="J31" s="53">
        <v>726.4</v>
      </c>
      <c r="K31" s="53">
        <v>770.07</v>
      </c>
      <c r="L31" s="53">
        <v>821.51</v>
      </c>
      <c r="M31" s="53">
        <v>889.9</v>
      </c>
      <c r="N31" s="53">
        <v>986.52</v>
      </c>
      <c r="O31" s="54">
        <v>1069.5</v>
      </c>
      <c r="P31" s="54">
        <v>1169.25</v>
      </c>
      <c r="Q31" s="54">
        <v>1298.45</v>
      </c>
      <c r="R31" s="54">
        <v>1445.55</v>
      </c>
    </row>
    <row r="32" spans="1:18" ht="18" customHeight="1">
      <c r="A32" s="72"/>
      <c r="B32" s="78" t="s">
        <v>9</v>
      </c>
      <c r="C32" s="55"/>
      <c r="D32" s="56">
        <v>110.83186830749561</v>
      </c>
      <c r="E32" s="30">
        <v>102.80291286636145</v>
      </c>
      <c r="F32" s="30">
        <v>104.17658605813318</v>
      </c>
      <c r="G32" s="30">
        <v>104.02417970644959</v>
      </c>
      <c r="H32" s="30">
        <v>104.96230139468661</v>
      </c>
      <c r="I32" s="30">
        <v>105.33503923049652</v>
      </c>
      <c r="J32" s="30">
        <v>106.30140193754207</v>
      </c>
      <c r="K32" s="30">
        <v>106.01183920704847</v>
      </c>
      <c r="L32" s="30">
        <v>106.67991221577257</v>
      </c>
      <c r="M32" s="30">
        <v>108.32491387810252</v>
      </c>
      <c r="N32" s="30">
        <v>110.85739970783234</v>
      </c>
      <c r="O32" s="30">
        <v>108.41138547621945</v>
      </c>
      <c r="P32" s="30">
        <v>109.32678821879382</v>
      </c>
      <c r="Q32" s="30">
        <v>111.0498182595681</v>
      </c>
      <c r="R32" s="30">
        <v>111.32889214062919</v>
      </c>
    </row>
    <row r="33" spans="1:18" ht="30" customHeight="1">
      <c r="A33" s="72">
        <v>21</v>
      </c>
      <c r="B33" s="33" t="s">
        <v>97</v>
      </c>
      <c r="C33" s="56">
        <v>2000</v>
      </c>
      <c r="D33" s="56">
        <v>2000</v>
      </c>
      <c r="E33" s="30">
        <v>2000</v>
      </c>
      <c r="F33" s="30">
        <v>2000</v>
      </c>
      <c r="G33" s="30">
        <v>2000</v>
      </c>
      <c r="H33" s="30">
        <v>2200</v>
      </c>
      <c r="I33" s="30">
        <v>2400</v>
      </c>
      <c r="J33" s="30">
        <v>2600</v>
      </c>
      <c r="K33" s="30">
        <v>2600</v>
      </c>
      <c r="L33" s="30">
        <v>2600</v>
      </c>
      <c r="M33" s="30">
        <v>2600</v>
      </c>
      <c r="N33" s="30">
        <v>3000</v>
      </c>
      <c r="O33" s="30">
        <v>3000</v>
      </c>
      <c r="P33" s="30">
        <v>3000</v>
      </c>
      <c r="Q33" s="30">
        <v>3300</v>
      </c>
      <c r="R33" s="30">
        <v>3400</v>
      </c>
    </row>
    <row r="34" spans="1:18" ht="18" customHeight="1">
      <c r="A34" s="72"/>
      <c r="B34" s="78" t="s">
        <v>9</v>
      </c>
      <c r="C34" s="55"/>
      <c r="D34" s="56">
        <v>100</v>
      </c>
      <c r="E34" s="30">
        <v>100</v>
      </c>
      <c r="F34" s="30">
        <v>100</v>
      </c>
      <c r="G34" s="30">
        <v>100</v>
      </c>
      <c r="H34" s="30">
        <v>110.00000000000001</v>
      </c>
      <c r="I34" s="30">
        <v>109.09090909090908</v>
      </c>
      <c r="J34" s="30">
        <v>108.33333333333333</v>
      </c>
      <c r="K34" s="30">
        <v>100</v>
      </c>
      <c r="L34" s="30">
        <v>100</v>
      </c>
      <c r="M34" s="30">
        <v>100</v>
      </c>
      <c r="N34" s="30">
        <v>115.38461538461537</v>
      </c>
      <c r="O34" s="30">
        <v>100</v>
      </c>
      <c r="P34" s="30">
        <v>100</v>
      </c>
      <c r="Q34" s="30">
        <v>110.00000000000001</v>
      </c>
      <c r="R34" s="30">
        <v>103.03030303030303</v>
      </c>
    </row>
    <row r="35" spans="1:18" ht="18" customHeight="1">
      <c r="A35" s="72">
        <v>22</v>
      </c>
      <c r="B35" s="57" t="s">
        <v>46</v>
      </c>
      <c r="C35" s="37">
        <v>208.97</v>
      </c>
      <c r="D35" s="56">
        <v>244.46</v>
      </c>
      <c r="E35" s="56">
        <v>263.4425</v>
      </c>
      <c r="F35" s="56">
        <v>266.63</v>
      </c>
      <c r="G35" s="37">
        <v>271.20999999999998</v>
      </c>
      <c r="H35" s="37">
        <v>293.95999999999998</v>
      </c>
      <c r="I35" s="37">
        <v>310</v>
      </c>
      <c r="J35" s="37">
        <v>321.77999999999997</v>
      </c>
      <c r="K35" s="37">
        <v>332.68</v>
      </c>
      <c r="L35" s="37">
        <v>345.46</v>
      </c>
      <c r="M35" s="37">
        <v>364.32</v>
      </c>
      <c r="N35" s="37">
        <v>383.03</v>
      </c>
      <c r="O35" s="37">
        <v>437.17</v>
      </c>
      <c r="P35" s="37">
        <v>536.71</v>
      </c>
      <c r="Q35" s="37">
        <v>674.54</v>
      </c>
      <c r="R35" s="37">
        <v>784.48</v>
      </c>
    </row>
    <row r="36" spans="1:18" ht="18" customHeight="1">
      <c r="A36" s="72"/>
      <c r="B36" s="78" t="s">
        <v>9</v>
      </c>
      <c r="C36" s="28"/>
      <c r="D36" s="56">
        <v>116.98329903813945</v>
      </c>
      <c r="E36" s="30">
        <v>107.76469007313713</v>
      </c>
      <c r="F36" s="30">
        <v>101.20994144832363</v>
      </c>
      <c r="G36" s="30">
        <v>101.71773618872595</v>
      </c>
      <c r="H36" s="30">
        <v>108.38833376350429</v>
      </c>
      <c r="I36" s="30">
        <v>105.45652469723773</v>
      </c>
      <c r="J36" s="30">
        <v>103.79999999999998</v>
      </c>
      <c r="K36" s="30">
        <v>103.38740754552802</v>
      </c>
      <c r="L36" s="30">
        <v>103.84152939761933</v>
      </c>
      <c r="M36" s="30">
        <v>105.45938748335553</v>
      </c>
      <c r="N36" s="30">
        <v>105.13559508124726</v>
      </c>
      <c r="O36" s="30">
        <v>114.13466308122079</v>
      </c>
      <c r="P36" s="30">
        <v>122.76917446302353</v>
      </c>
      <c r="Q36" s="30">
        <v>125.68053511207169</v>
      </c>
      <c r="R36" s="30">
        <v>116.29851454324429</v>
      </c>
    </row>
    <row r="37" spans="1:18" s="7" customFormat="1" ht="18" customHeight="1">
      <c r="A37" s="72">
        <v>23</v>
      </c>
      <c r="B37" s="57" t="s">
        <v>49</v>
      </c>
      <c r="C37" s="56">
        <v>210</v>
      </c>
      <c r="D37" s="56">
        <v>263.46807951013591</v>
      </c>
      <c r="E37" s="56">
        <v>284.89999999999998</v>
      </c>
      <c r="F37" s="56">
        <v>289.19</v>
      </c>
      <c r="G37" s="37">
        <v>294.36</v>
      </c>
      <c r="H37" s="37">
        <v>318.08999999999997</v>
      </c>
      <c r="I37" s="37">
        <v>334.41</v>
      </c>
      <c r="J37" s="37">
        <v>351.73</v>
      </c>
      <c r="K37" s="37">
        <v>365.21</v>
      </c>
      <c r="L37" s="37">
        <v>379.38</v>
      </c>
      <c r="M37" s="37">
        <v>398.81</v>
      </c>
      <c r="N37" s="37">
        <v>422.84</v>
      </c>
      <c r="O37" s="37">
        <v>483.21</v>
      </c>
      <c r="P37" s="37">
        <v>585.41</v>
      </c>
      <c r="Q37" s="37">
        <v>730.79</v>
      </c>
      <c r="R37" s="37">
        <v>861.23</v>
      </c>
    </row>
    <row r="38" spans="1:18" s="7" customFormat="1" ht="18" customHeight="1">
      <c r="A38" s="72"/>
      <c r="B38" s="78" t="s">
        <v>9</v>
      </c>
      <c r="C38" s="28"/>
      <c r="D38" s="56">
        <v>125.46099024292185</v>
      </c>
      <c r="E38" s="30">
        <v>108.13454158458676</v>
      </c>
      <c r="F38" s="30">
        <v>101.7772928837897</v>
      </c>
      <c r="G38" s="30">
        <v>101.78775199695703</v>
      </c>
      <c r="H38" s="30">
        <v>108.06155727680391</v>
      </c>
      <c r="I38" s="30">
        <v>105.13062340846932</v>
      </c>
      <c r="J38" s="30">
        <v>105.17927095481593</v>
      </c>
      <c r="K38" s="30">
        <v>103.83248514485541</v>
      </c>
      <c r="L38" s="30">
        <v>103.87995947537034</v>
      </c>
      <c r="M38" s="30">
        <v>105.12151404923824</v>
      </c>
      <c r="N38" s="30">
        <v>106.02542564128281</v>
      </c>
      <c r="O38" s="30">
        <v>114.27726799735125</v>
      </c>
      <c r="P38" s="30">
        <v>121.15022454005504</v>
      </c>
      <c r="Q38" s="30">
        <v>124.8338771117678</v>
      </c>
      <c r="R38" s="30">
        <v>117.8491769181297</v>
      </c>
    </row>
    <row r="39" spans="1:18" ht="30" customHeight="1">
      <c r="A39" s="72">
        <v>24</v>
      </c>
      <c r="B39" s="27" t="s">
        <v>58</v>
      </c>
      <c r="C39" s="37">
        <v>80.175000000000011</v>
      </c>
      <c r="D39" s="37">
        <v>96.694999999999993</v>
      </c>
      <c r="E39" s="37">
        <v>100.86</v>
      </c>
      <c r="F39" s="37">
        <v>100.86</v>
      </c>
      <c r="G39" s="37">
        <v>100.86</v>
      </c>
      <c r="H39" s="37">
        <v>107.72</v>
      </c>
      <c r="I39" s="37">
        <v>111.5</v>
      </c>
      <c r="J39" s="37">
        <v>114.08</v>
      </c>
      <c r="K39" s="37">
        <v>116.65</v>
      </c>
      <c r="L39" s="37">
        <v>119.56</v>
      </c>
      <c r="M39" s="37">
        <v>123.28</v>
      </c>
      <c r="N39" s="37">
        <v>129.16</v>
      </c>
      <c r="O39" s="37">
        <v>137.185</v>
      </c>
      <c r="P39" s="37">
        <v>145.17000000000002</v>
      </c>
      <c r="Q39" s="37">
        <v>208.5</v>
      </c>
      <c r="R39" s="37">
        <v>261.82</v>
      </c>
    </row>
    <row r="40" spans="1:18" ht="18" customHeight="1">
      <c r="A40" s="72"/>
      <c r="B40" s="78" t="s">
        <v>9</v>
      </c>
      <c r="C40" s="55"/>
      <c r="D40" s="56">
        <v>100</v>
      </c>
      <c r="E40" s="30">
        <v>100</v>
      </c>
      <c r="F40" s="30">
        <v>100</v>
      </c>
      <c r="G40" s="30">
        <v>100</v>
      </c>
      <c r="H40" s="30">
        <v>106.80150703946063</v>
      </c>
      <c r="I40" s="30">
        <v>103.50909766060157</v>
      </c>
      <c r="J40" s="30">
        <v>102.31390134529148</v>
      </c>
      <c r="K40" s="30">
        <v>102.25280504908835</v>
      </c>
      <c r="L40" s="30">
        <v>102.49464209172739</v>
      </c>
      <c r="M40" s="30">
        <v>103.11140849782537</v>
      </c>
      <c r="N40" s="30">
        <v>104.76963011031796</v>
      </c>
      <c r="O40" s="30">
        <v>106.21322390833076</v>
      </c>
      <c r="P40" s="30">
        <v>105.82060720924301</v>
      </c>
      <c r="Q40" s="30">
        <v>143.6247158503823</v>
      </c>
      <c r="R40" s="30">
        <v>125.57314148681056</v>
      </c>
    </row>
    <row r="41" spans="1:18" ht="24" customHeight="1">
      <c r="A41" s="72">
        <v>25</v>
      </c>
      <c r="B41" s="27" t="s">
        <v>59</v>
      </c>
      <c r="C41" s="37">
        <v>108.16999999999999</v>
      </c>
      <c r="D41" s="37">
        <v>130.46</v>
      </c>
      <c r="E41" s="37">
        <v>136.08000000000001</v>
      </c>
      <c r="F41" s="37">
        <v>136.08000000000001</v>
      </c>
      <c r="G41" s="37">
        <v>141.28</v>
      </c>
      <c r="H41" s="37">
        <v>148.75</v>
      </c>
      <c r="I41" s="37">
        <v>152.25</v>
      </c>
      <c r="J41" s="37">
        <v>155.97</v>
      </c>
      <c r="K41" s="37">
        <v>159.41</v>
      </c>
      <c r="L41" s="37">
        <v>175.68999999999997</v>
      </c>
      <c r="M41" s="37">
        <v>203.8</v>
      </c>
      <c r="N41" s="37">
        <v>213.51499999999999</v>
      </c>
      <c r="O41" s="37">
        <v>234.715</v>
      </c>
      <c r="P41" s="37">
        <v>300</v>
      </c>
      <c r="Q41" s="37">
        <v>418.5</v>
      </c>
      <c r="R41" s="37">
        <v>495.02</v>
      </c>
    </row>
    <row r="42" spans="1:18" ht="18" customHeight="1">
      <c r="A42" s="72"/>
      <c r="B42" s="78" t="s">
        <v>9</v>
      </c>
      <c r="C42" s="28"/>
      <c r="D42" s="56">
        <v>120.60645280576871</v>
      </c>
      <c r="E42" s="30">
        <v>104.30783381879503</v>
      </c>
      <c r="F42" s="30">
        <v>100</v>
      </c>
      <c r="G42" s="30">
        <v>103.82128159905936</v>
      </c>
      <c r="H42" s="30">
        <v>105.28737259343148</v>
      </c>
      <c r="I42" s="30">
        <v>102.35294117647058</v>
      </c>
      <c r="J42" s="30">
        <v>102.44334975369458</v>
      </c>
      <c r="K42" s="30">
        <v>102.20555234981086</v>
      </c>
      <c r="L42" s="30">
        <v>110.21265918072891</v>
      </c>
      <c r="M42" s="30">
        <v>115.9997723262565</v>
      </c>
      <c r="N42" s="30">
        <v>104.76692836113837</v>
      </c>
      <c r="O42" s="30">
        <v>109.9290447977894</v>
      </c>
      <c r="P42" s="30">
        <v>127.81458364399379</v>
      </c>
      <c r="Q42" s="30">
        <v>139.5</v>
      </c>
      <c r="R42" s="30">
        <v>118.28434886499402</v>
      </c>
    </row>
    <row r="43" spans="1:18" ht="19.5" customHeight="1">
      <c r="A43" s="72">
        <v>26</v>
      </c>
      <c r="B43" s="27" t="s">
        <v>60</v>
      </c>
      <c r="C43" s="37">
        <v>490</v>
      </c>
      <c r="D43" s="37">
        <v>647.5</v>
      </c>
      <c r="E43" s="37">
        <v>700</v>
      </c>
      <c r="F43" s="37">
        <v>700</v>
      </c>
      <c r="G43" s="44">
        <v>700</v>
      </c>
      <c r="H43" s="44">
        <v>752.5</v>
      </c>
      <c r="I43" s="44">
        <v>805</v>
      </c>
      <c r="J43" s="44">
        <v>875</v>
      </c>
      <c r="K43" s="44">
        <v>910</v>
      </c>
      <c r="L43" s="44">
        <v>910</v>
      </c>
      <c r="M43" s="44">
        <v>910</v>
      </c>
      <c r="N43" s="44">
        <v>1055</v>
      </c>
      <c r="O43" s="44">
        <v>1200</v>
      </c>
      <c r="P43" s="44">
        <v>1440</v>
      </c>
      <c r="Q43" s="44">
        <v>2100</v>
      </c>
      <c r="R43" s="44">
        <v>3400</v>
      </c>
    </row>
    <row r="44" spans="1:18" ht="18" customHeight="1">
      <c r="A44" s="72"/>
      <c r="B44" s="78" t="s">
        <v>9</v>
      </c>
      <c r="C44" s="56"/>
      <c r="D44" s="56">
        <v>132.14285714285714</v>
      </c>
      <c r="E44" s="30">
        <v>100</v>
      </c>
      <c r="F44" s="30">
        <v>100</v>
      </c>
      <c r="G44" s="30">
        <v>100</v>
      </c>
      <c r="H44" s="30">
        <v>107.5</v>
      </c>
      <c r="I44" s="30">
        <v>106.9767441860465</v>
      </c>
      <c r="J44" s="30">
        <v>108.69565217391303</v>
      </c>
      <c r="K44" s="30">
        <v>104</v>
      </c>
      <c r="L44" s="30">
        <v>100</v>
      </c>
      <c r="M44" s="30">
        <v>100</v>
      </c>
      <c r="N44" s="30">
        <v>115.93406593406594</v>
      </c>
      <c r="O44" s="30">
        <v>113.74407582938389</v>
      </c>
      <c r="P44" s="30">
        <v>120</v>
      </c>
      <c r="Q44" s="30">
        <v>145.83333333333331</v>
      </c>
      <c r="R44" s="30">
        <v>161.9047619047619</v>
      </c>
    </row>
    <row r="45" spans="1:18" ht="18" customHeight="1">
      <c r="A45" s="72">
        <v>27</v>
      </c>
      <c r="B45" s="27" t="s">
        <v>50</v>
      </c>
      <c r="C45" s="37">
        <v>220</v>
      </c>
      <c r="D45" s="37">
        <v>240</v>
      </c>
      <c r="E45" s="37">
        <v>240</v>
      </c>
      <c r="F45" s="37">
        <v>250</v>
      </c>
      <c r="G45" s="37">
        <v>283.33</v>
      </c>
      <c r="H45" s="37">
        <v>310</v>
      </c>
      <c r="I45" s="37">
        <v>340</v>
      </c>
      <c r="J45" s="37">
        <v>370</v>
      </c>
      <c r="K45" s="37">
        <v>420</v>
      </c>
      <c r="L45" s="37">
        <v>460</v>
      </c>
      <c r="M45" s="37">
        <v>510</v>
      </c>
      <c r="N45" s="37">
        <v>560</v>
      </c>
      <c r="O45" s="37">
        <v>610</v>
      </c>
      <c r="P45" s="37">
        <v>650</v>
      </c>
      <c r="Q45" s="37">
        <v>695</v>
      </c>
      <c r="R45" s="37">
        <v>780</v>
      </c>
    </row>
    <row r="46" spans="1:18" ht="18" customHeight="1">
      <c r="A46" s="73"/>
      <c r="B46" s="81" t="s">
        <v>9</v>
      </c>
      <c r="C46" s="58"/>
      <c r="D46" s="58">
        <v>109.09090909090908</v>
      </c>
      <c r="E46" s="59">
        <v>100</v>
      </c>
      <c r="F46" s="59">
        <v>104.16666666666667</v>
      </c>
      <c r="G46" s="59">
        <v>113.33199999999999</v>
      </c>
      <c r="H46" s="59">
        <v>109.41305191825788</v>
      </c>
      <c r="I46" s="59">
        <v>109.6774193548387</v>
      </c>
      <c r="J46" s="59">
        <v>108.8235294117647</v>
      </c>
      <c r="K46" s="59">
        <v>113.51351351351352</v>
      </c>
      <c r="L46" s="59">
        <v>109.52380952380953</v>
      </c>
      <c r="M46" s="59">
        <v>110.86956521739131</v>
      </c>
      <c r="N46" s="59">
        <v>109.80392156862746</v>
      </c>
      <c r="O46" s="59">
        <v>108.92857142857142</v>
      </c>
      <c r="P46" s="59">
        <v>106.55737704918033</v>
      </c>
      <c r="Q46" s="59">
        <v>106.92307692307692</v>
      </c>
      <c r="R46" s="59">
        <v>112.23021582733811</v>
      </c>
    </row>
    <row r="47" spans="1:18" ht="27.75" customHeight="1">
      <c r="A47" s="76"/>
      <c r="B47" s="14" t="s">
        <v>12</v>
      </c>
      <c r="C47" s="15"/>
      <c r="D47" s="15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22.5" customHeight="1">
      <c r="A48" s="77">
        <v>28</v>
      </c>
      <c r="B48" s="60" t="s">
        <v>26</v>
      </c>
      <c r="C48" s="61">
        <v>8.8561088247697217</v>
      </c>
      <c r="D48" s="61">
        <v>10.445158661401184</v>
      </c>
      <c r="E48" s="61">
        <v>10.91155841790407</v>
      </c>
      <c r="F48" s="61">
        <v>10.173073385430726</v>
      </c>
      <c r="G48" s="62">
        <v>10.19277089468552</v>
      </c>
      <c r="H48" s="62">
        <v>10.919551030840008</v>
      </c>
      <c r="I48" s="62">
        <v>11.147839639682466</v>
      </c>
      <c r="J48" s="62">
        <v>10.898503980082838</v>
      </c>
      <c r="K48" s="62">
        <v>10.684958206168918</v>
      </c>
      <c r="L48" s="62">
        <v>10.282712717781912</v>
      </c>
      <c r="M48" s="62">
        <v>10.170383747589069</v>
      </c>
      <c r="N48" s="62">
        <v>9.6861318083485948</v>
      </c>
      <c r="O48" s="62">
        <v>11.856093277232986</v>
      </c>
      <c r="P48" s="62">
        <v>12.458335179230177</v>
      </c>
      <c r="Q48" s="62">
        <v>10.791049878047049</v>
      </c>
      <c r="R48" s="62">
        <v>11.760698347633571</v>
      </c>
    </row>
    <row r="49" spans="1:18" ht="18" customHeight="1">
      <c r="A49" s="72">
        <f>A48+1</f>
        <v>29</v>
      </c>
      <c r="B49" s="63" t="s">
        <v>10</v>
      </c>
      <c r="C49" s="30">
        <v>7.6836071629579799</v>
      </c>
      <c r="D49" s="30">
        <v>8.8553211188696519</v>
      </c>
      <c r="E49" s="30">
        <v>9.3219368924260237</v>
      </c>
      <c r="F49" s="30">
        <v>8.7413629218746163</v>
      </c>
      <c r="G49" s="32">
        <v>8.733147135268565</v>
      </c>
      <c r="H49" s="32">
        <v>9.4174028424495155</v>
      </c>
      <c r="I49" s="32">
        <v>9.6454869123449161</v>
      </c>
      <c r="J49" s="32">
        <v>9.3879325897891057</v>
      </c>
      <c r="K49" s="32">
        <v>9.1311068810370308</v>
      </c>
      <c r="L49" s="32">
        <v>8.7718398371687627</v>
      </c>
      <c r="M49" s="32">
        <v>8.6028335274209411</v>
      </c>
      <c r="N49" s="32">
        <v>8.1937528334348215</v>
      </c>
      <c r="O49" s="32">
        <v>9.2431769051041996</v>
      </c>
      <c r="P49" s="32">
        <v>10.252713767679715</v>
      </c>
      <c r="Q49" s="32">
        <v>9.3169715784452443</v>
      </c>
      <c r="R49" s="32">
        <v>10.406420305225039</v>
      </c>
    </row>
    <row r="50" spans="1:18" ht="18" customHeight="1">
      <c r="A50" s="72">
        <f t="shared" ref="A50:A52" si="1">A49+1</f>
        <v>30</v>
      </c>
      <c r="B50" s="64" t="s">
        <v>34</v>
      </c>
      <c r="C50" s="65">
        <v>77.681682663294083</v>
      </c>
      <c r="D50" s="65">
        <v>77.479301679718731</v>
      </c>
      <c r="E50" s="65">
        <v>77.413464835868467</v>
      </c>
      <c r="F50" s="65">
        <v>76.292755850070321</v>
      </c>
      <c r="G50" s="65">
        <v>80.058410919737327</v>
      </c>
      <c r="H50" s="65">
        <v>80.441937138251888</v>
      </c>
      <c r="I50" s="65">
        <v>79.773873067210303</v>
      </c>
      <c r="J50" s="65">
        <v>79.019966573605927</v>
      </c>
      <c r="K50" s="65">
        <v>78.870927960919133</v>
      </c>
      <c r="L50" s="65">
        <v>78.161643559654934</v>
      </c>
      <c r="M50" s="65">
        <v>77.51788234602617</v>
      </c>
      <c r="N50" s="65">
        <v>76.780555964165004</v>
      </c>
      <c r="O50" s="65">
        <v>78.813573793861281</v>
      </c>
      <c r="P50" s="65">
        <v>75.7218484474039</v>
      </c>
      <c r="Q50" s="65">
        <v>72.883375819406211</v>
      </c>
      <c r="R50" s="65">
        <v>72.350342198118</v>
      </c>
    </row>
    <row r="51" spans="1:18" ht="38.25" customHeight="1">
      <c r="A51" s="72">
        <f t="shared" si="1"/>
        <v>31</v>
      </c>
      <c r="B51" s="64" t="s">
        <v>48</v>
      </c>
      <c r="C51" s="66">
        <v>41.74724308774173</v>
      </c>
      <c r="D51" s="65">
        <v>44.064313782039733</v>
      </c>
      <c r="E51" s="65">
        <v>46.191240159206068</v>
      </c>
      <c r="F51" s="65">
        <v>44.875848679951233</v>
      </c>
      <c r="G51" s="65">
        <v>43.880852991618937</v>
      </c>
      <c r="H51" s="65">
        <v>45.313150309065399</v>
      </c>
      <c r="I51" s="65">
        <v>45.365411069160302</v>
      </c>
      <c r="J51" s="65">
        <v>44.29790748898678</v>
      </c>
      <c r="K51" s="65">
        <v>43.201267417247777</v>
      </c>
      <c r="L51" s="65">
        <v>42.051831383671527</v>
      </c>
      <c r="M51" s="65">
        <v>40.939431396786155</v>
      </c>
      <c r="N51" s="65">
        <v>38.826379596967115</v>
      </c>
      <c r="O51" s="65">
        <v>40.876110331930811</v>
      </c>
      <c r="P51" s="65">
        <v>45.902073979046399</v>
      </c>
      <c r="Q51" s="65">
        <v>51.949632253841116</v>
      </c>
      <c r="R51" s="65">
        <v>54.268617481235516</v>
      </c>
    </row>
    <row r="52" spans="1:18" s="5" customFormat="1" ht="39" customHeight="1">
      <c r="A52" s="73">
        <f t="shared" si="1"/>
        <v>32</v>
      </c>
      <c r="B52" s="67" t="s">
        <v>47</v>
      </c>
      <c r="C52" s="68">
        <v>53.811862706550308</v>
      </c>
      <c r="D52" s="69">
        <v>56.276262812311273</v>
      </c>
      <c r="E52" s="69">
        <v>58.388623636968859</v>
      </c>
      <c r="F52" s="69">
        <v>57.246904809224688</v>
      </c>
      <c r="G52" s="69">
        <v>55.977615756625767</v>
      </c>
      <c r="H52" s="69">
        <v>57.804758654248502</v>
      </c>
      <c r="I52" s="69">
        <v>57.871426290547646</v>
      </c>
      <c r="J52" s="69">
        <v>56.509640884024471</v>
      </c>
      <c r="K52" s="69">
        <v>55.110686844301284</v>
      </c>
      <c r="L52" s="69">
        <v>53.916751780485072</v>
      </c>
      <c r="M52" s="69">
        <v>52.758358974182528</v>
      </c>
      <c r="N52" s="69">
        <v>50.035283895161108</v>
      </c>
      <c r="O52" s="69">
        <v>52.676757560672705</v>
      </c>
      <c r="P52" s="69">
        <v>59.153681768919817</v>
      </c>
      <c r="Q52" s="69">
        <v>66.947127830409443</v>
      </c>
      <c r="R52" s="69">
        <v>69.935587877568381</v>
      </c>
    </row>
    <row r="53" spans="1:18">
      <c r="B53" s="85" t="s">
        <v>105</v>
      </c>
      <c r="C53" s="11"/>
      <c r="D53" s="12"/>
      <c r="E53" s="12"/>
    </row>
    <row r="54" spans="1:18">
      <c r="B54" s="84" t="s">
        <v>57</v>
      </c>
    </row>
    <row r="55" spans="1:18">
      <c r="B55" s="2" t="s">
        <v>94</v>
      </c>
    </row>
    <row r="56" spans="1:18">
      <c r="B56" s="2" t="s">
        <v>95</v>
      </c>
    </row>
    <row r="57" spans="1:18">
      <c r="B57" s="2" t="s">
        <v>62</v>
      </c>
    </row>
  </sheetData>
  <mergeCells count="1">
    <mergeCell ref="B1:R1"/>
  </mergeCells>
  <phoneticPr fontId="7" type="noConversion"/>
  <printOptions horizontalCentered="1"/>
  <pageMargins left="0.23622047244094491" right="0.13" top="0.59055118110236227" bottom="0.51181102362204722" header="0.33" footer="0.15748031496062992"/>
  <pageSetup paperSize="9" scale="4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BG</vt:lpstr>
      <vt:lpstr>EN</vt:lpstr>
      <vt:lpstr>BG!Print_Area</vt:lpstr>
      <vt:lpstr>EN!Print_Area</vt:lpstr>
      <vt:lpstr>BG!Print_Titles</vt:lpstr>
      <vt:lpstr>EN!Print_Titles</vt:lpstr>
    </vt:vector>
  </TitlesOfParts>
  <Company>NSSI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Гергана Т. Пеева-Иванова</cp:lastModifiedBy>
  <cp:lastPrinted>2024-04-03T07:10:48Z</cp:lastPrinted>
  <dcterms:created xsi:type="dcterms:W3CDTF">1998-04-24T06:51:29Z</dcterms:created>
  <dcterms:modified xsi:type="dcterms:W3CDTF">2024-05-07T07:58:24Z</dcterms:modified>
</cp:coreProperties>
</file>